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1.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C:\Users\PLANEACION\Desktop\PLANEACION\PLANEACIÓN 2022\PLANEACIÓN 2022\SEGUIMIENTO PLAN DE DESARROLLO 2022\SEGUIMIENTO POAI 2022\"/>
    </mc:Choice>
  </mc:AlternateContent>
  <xr:revisionPtr revIDLastSave="0" documentId="13_ncr:1_{010915A9-250B-4452-B644-E4C4E1D76C5F}" xr6:coauthVersionLast="47" xr6:coauthVersionMax="47" xr10:uidLastSave="{00000000-0000-0000-0000-000000000000}"/>
  <bookViews>
    <workbookView xWindow="-120" yWindow="-120" windowWidth="29040" windowHeight="15840" tabRatio="581" xr2:uid="{00000000-000D-0000-FFFF-FFFF00000000}"/>
  </bookViews>
  <sheets>
    <sheet name="POAI 2022 " sheetId="5" r:id="rId1"/>
    <sheet name="LINEA 1_x0009_SEGUIMIENTO DEL PLAN OP" sheetId="14" state="hidden" r:id="rId2"/>
    <sheet name="LINEA 2 SEGUIMIENTO DEL POAI" sheetId="15" state="hidden" r:id="rId3"/>
    <sheet name="LINEA3 SEGUIMIENTO DE POAI" sheetId="19" state="hidden" r:id="rId4"/>
    <sheet name="LINEA 4 SEGUIMIENTO DEL POAI" sheetId="20" state="hidden" r:id="rId5"/>
    <sheet name="LINEA5 SEGUIMIENTO POAI" sheetId="21" state="hidden" r:id="rId6"/>
    <sheet name="LINEA 6 SEGUIMIENTO DEL POAI" sheetId="22" state="hidden" r:id="rId7"/>
    <sheet name="LINEA7 SEGUIMIENTO DEL POAI " sheetId="23" state="hidden" r:id="rId8"/>
    <sheet name="LINEA8 SEGUIMIENTO DEL POAI" sheetId="24" state="hidden" r:id="rId9"/>
    <sheet name="RESUMEN LINEAS-POAI" sheetId="25" state="hidden" r:id="rId10"/>
    <sheet name="COSOLIDADO POAI" sheetId="26" state="hidden" r:id="rId11"/>
    <sheet name="PRESENTACIÓN" sheetId="27" state="hidden" r:id="rId12"/>
    <sheet name="DESGLOSE LINEA 2" sheetId="29" state="hidden" r:id="rId13"/>
    <sheet name="DESGLOSE LINEA 3" sheetId="28" state="hidden" r:id="rId14"/>
  </sheets>
  <externalReferences>
    <externalReference r:id="rId15"/>
  </externalReferences>
  <definedNames>
    <definedName name="_xlnm._FilterDatabase" localSheetId="0" hidden="1">'POAI 2022 '!$A$6:$BB$185</definedName>
    <definedName name="Administrativos">'[1]Datos seguridad social'!$C$5:$C$515</definedName>
    <definedName name="asignacionbasica">'[1]Datos seguridad social'!$J$5:$J$515</definedName>
    <definedName name="Asistenciales">'[1]Datos seguridad social'!$D$5:$D$515</definedName>
    <definedName name="Extras">'[1]Datos seguridad social'!$K$5:$K$515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14" i="28" l="1"/>
  <c r="E4" i="28"/>
  <c r="E5" i="28" l="1"/>
  <c r="H18" i="28" l="1"/>
  <c r="E8" i="28"/>
  <c r="Z111" i="5"/>
  <c r="E12" i="29"/>
  <c r="F15" i="29" l="1"/>
  <c r="F14" i="28"/>
  <c r="H14" i="28" s="1"/>
  <c r="E45" i="27"/>
  <c r="E15" i="27"/>
  <c r="C112" i="27" s="1"/>
  <c r="E105" i="27"/>
  <c r="C119" i="27" s="1"/>
  <c r="E91" i="27"/>
  <c r="C118" i="27" s="1"/>
  <c r="E82" i="27"/>
  <c r="C117" i="27" s="1"/>
  <c r="E73" i="27"/>
  <c r="C116" i="27" s="1"/>
  <c r="E61" i="27"/>
  <c r="C115" i="27" s="1"/>
  <c r="C113" i="27"/>
  <c r="E27" i="27"/>
  <c r="C114" i="27" s="1"/>
  <c r="C120" i="27" l="1"/>
  <c r="D120" i="27" l="1"/>
  <c r="D124" i="27"/>
  <c r="Y103" i="5"/>
  <c r="Z103" i="5" s="1"/>
  <c r="E17" i="26" l="1"/>
  <c r="E16" i="26"/>
  <c r="E12" i="26"/>
  <c r="F4" i="26"/>
  <c r="C23" i="26"/>
  <c r="F15" i="26" s="1"/>
  <c r="D20" i="26"/>
  <c r="E20" i="26" s="1"/>
  <c r="D19" i="26"/>
  <c r="F19" i="26" s="1"/>
  <c r="D17" i="26"/>
  <c r="D15" i="26"/>
  <c r="E15" i="26" s="1"/>
  <c r="D11" i="26"/>
  <c r="E13" i="26" s="1"/>
  <c r="D9" i="26"/>
  <c r="E10" i="26" s="1"/>
  <c r="D7" i="26"/>
  <c r="E8" i="26" s="1"/>
  <c r="D4" i="26"/>
  <c r="E6" i="26" s="1"/>
  <c r="Y40" i="5"/>
  <c r="Z40" i="5" s="1"/>
  <c r="Y172" i="5"/>
  <c r="Z172" i="5" s="1"/>
  <c r="Y62" i="5"/>
  <c r="Z62" i="5" s="1"/>
  <c r="Z154" i="5"/>
  <c r="Y127" i="5"/>
  <c r="Z127" i="5" s="1"/>
  <c r="Z133" i="5"/>
  <c r="Y122" i="5"/>
  <c r="Z122" i="5" s="1"/>
  <c r="Y159" i="5"/>
  <c r="Z159" i="5" s="1"/>
  <c r="Y142" i="5"/>
  <c r="Z142" i="5" s="1"/>
  <c r="Z56" i="5"/>
  <c r="Z98" i="5"/>
  <c r="Z94" i="5"/>
  <c r="Y21" i="5"/>
  <c r="Z21" i="5" s="1"/>
  <c r="Y17" i="5"/>
  <c r="Z17" i="5" s="1"/>
  <c r="Y12" i="5"/>
  <c r="Z12" i="5" s="1"/>
  <c r="Y8" i="5"/>
  <c r="Z8" i="5" s="1"/>
  <c r="F23" i="26" l="1"/>
  <c r="E4" i="26"/>
  <c r="F7" i="26"/>
  <c r="E14" i="26"/>
  <c r="F17" i="26"/>
  <c r="E5" i="26"/>
  <c r="E9" i="26"/>
  <c r="F11" i="26"/>
  <c r="E19" i="26"/>
  <c r="F9" i="26"/>
  <c r="E7" i="26"/>
  <c r="F20" i="26"/>
  <c r="D23" i="26"/>
  <c r="Y13" i="23"/>
  <c r="W47" i="15"/>
  <c r="X47" i="15" s="1"/>
  <c r="AD19" i="24"/>
  <c r="AD18" i="24"/>
  <c r="AD16" i="24"/>
  <c r="AD15" i="24"/>
  <c r="AD12" i="24"/>
  <c r="AD11" i="24"/>
  <c r="AD9" i="24"/>
  <c r="AD8" i="24"/>
  <c r="AD24" i="24"/>
  <c r="AD23" i="24"/>
  <c r="U27" i="20"/>
  <c r="U28" i="20"/>
  <c r="U29" i="20"/>
  <c r="U30" i="20"/>
  <c r="U31" i="20"/>
  <c r="T26" i="20"/>
  <c r="V33" i="20" l="1"/>
  <c r="AD35" i="15"/>
  <c r="X33" i="15"/>
  <c r="X34" i="15"/>
  <c r="AD26" i="15"/>
  <c r="AE26" i="15"/>
  <c r="AF26" i="15"/>
  <c r="AG43" i="15"/>
  <c r="X43" i="15"/>
  <c r="V30" i="15"/>
  <c r="W46" i="15"/>
  <c r="V46" i="15"/>
  <c r="AD46" i="15"/>
  <c r="AC46" i="15"/>
  <c r="AG29" i="15"/>
  <c r="AG30" i="15"/>
  <c r="AG31" i="15"/>
  <c r="AG33" i="15"/>
  <c r="AG34" i="15"/>
  <c r="AG36" i="15"/>
  <c r="AH36" i="15" s="1"/>
  <c r="AG37" i="15"/>
  <c r="AG38" i="15"/>
  <c r="AH38" i="15" s="1"/>
  <c r="AG39" i="15"/>
  <c r="AG40" i="15"/>
  <c r="AH40" i="15" s="1"/>
  <c r="AG41" i="15"/>
  <c r="AH41" i="15" s="1"/>
  <c r="AG42" i="15"/>
  <c r="AH42" i="15" s="1"/>
  <c r="AG44" i="15"/>
  <c r="AG45" i="15"/>
  <c r="AG28" i="15"/>
  <c r="AG9" i="15"/>
  <c r="AG10" i="15"/>
  <c r="AG11" i="15"/>
  <c r="AG12" i="15"/>
  <c r="AG13" i="15"/>
  <c r="AG14" i="15"/>
  <c r="AG15" i="15"/>
  <c r="AG16" i="15"/>
  <c r="AG17" i="15"/>
  <c r="AG18" i="15"/>
  <c r="AG19" i="15"/>
  <c r="AG20" i="15"/>
  <c r="AG21" i="15"/>
  <c r="AG22" i="15"/>
  <c r="AG23" i="15"/>
  <c r="AG24" i="15"/>
  <c r="AG25" i="15"/>
  <c r="AG8" i="15"/>
  <c r="W39" i="15"/>
  <c r="AE61" i="19"/>
  <c r="AF61" i="19"/>
  <c r="AD61" i="19"/>
  <c r="D83" i="19" s="1"/>
  <c r="AC61" i="19"/>
  <c r="V32" i="19"/>
  <c r="AG64" i="19"/>
  <c r="AH64" i="19" s="1"/>
  <c r="AG65" i="19"/>
  <c r="AH65" i="19" s="1"/>
  <c r="AG66" i="19"/>
  <c r="AH66" i="19" s="1"/>
  <c r="AG67" i="19"/>
  <c r="AG68" i="19"/>
  <c r="AG69" i="19"/>
  <c r="AH69" i="19" s="1"/>
  <c r="AG70" i="19"/>
  <c r="AH70" i="19" s="1"/>
  <c r="AG71" i="19"/>
  <c r="AG63" i="19"/>
  <c r="AG32" i="19"/>
  <c r="AG12" i="19"/>
  <c r="W32" i="19"/>
  <c r="X32" i="19" s="1"/>
  <c r="AH32" i="19" s="1"/>
  <c r="W12" i="19"/>
  <c r="X12" i="19" s="1"/>
  <c r="AG52" i="19"/>
  <c r="AG53" i="19"/>
  <c r="AG54" i="19"/>
  <c r="AG55" i="19"/>
  <c r="AG56" i="19"/>
  <c r="AG57" i="19"/>
  <c r="AG58" i="19"/>
  <c r="AG59" i="19"/>
  <c r="AG60" i="19"/>
  <c r="AG9" i="19"/>
  <c r="AG10" i="19"/>
  <c r="AG11" i="19"/>
  <c r="AG8" i="19"/>
  <c r="W8" i="19"/>
  <c r="X59" i="19"/>
  <c r="X58" i="19"/>
  <c r="X52" i="19"/>
  <c r="X56" i="19"/>
  <c r="X57" i="19"/>
  <c r="X60" i="19"/>
  <c r="AH57" i="19" l="1"/>
  <c r="AG61" i="19"/>
  <c r="X8" i="19"/>
  <c r="W61" i="19"/>
  <c r="AH58" i="19"/>
  <c r="X39" i="15"/>
  <c r="AH39" i="15" s="1"/>
  <c r="W49" i="15"/>
  <c r="AH13" i="15"/>
  <c r="AD49" i="15"/>
  <c r="AG46" i="15"/>
  <c r="AH43" i="15"/>
  <c r="AH59" i="19"/>
  <c r="AH60" i="19"/>
  <c r="AH56" i="19"/>
  <c r="AG26" i="15"/>
  <c r="X46" i="15"/>
  <c r="AH52" i="19"/>
  <c r="AH8" i="19"/>
  <c r="J202" i="5"/>
  <c r="P196" i="5"/>
  <c r="AH205" i="5"/>
  <c r="AD186" i="5"/>
  <c r="AB186" i="5"/>
  <c r="AC186" i="5"/>
  <c r="AA186" i="5"/>
  <c r="AC202" i="5" s="1"/>
  <c r="S186" i="5"/>
  <c r="AB202" i="5" s="1"/>
  <c r="Q186" i="5"/>
  <c r="AA202" i="5" s="1"/>
  <c r="AG205" i="5" l="1"/>
  <c r="AH46" i="15"/>
  <c r="AE202" i="5"/>
  <c r="AD202" i="5"/>
  <c r="AE186" i="5"/>
  <c r="AD12" i="23" l="1"/>
  <c r="AD11" i="23"/>
  <c r="AD10" i="23"/>
  <c r="AD9" i="23"/>
  <c r="AD8" i="23"/>
  <c r="AD27" i="23" l="1"/>
  <c r="AC35" i="15"/>
  <c r="AG35" i="15" s="1"/>
  <c r="AC32" i="15"/>
  <c r="AG32" i="15" l="1"/>
  <c r="AC49" i="15"/>
  <c r="Z29" i="20"/>
  <c r="AC24" i="24"/>
  <c r="AC23" i="24"/>
  <c r="AC19" i="24"/>
  <c r="AC18" i="24"/>
  <c r="AC16" i="24"/>
  <c r="AC15" i="24"/>
  <c r="AC12" i="24"/>
  <c r="AC11" i="24"/>
  <c r="AC9" i="24"/>
  <c r="AC8" i="24"/>
  <c r="Z28" i="23" l="1"/>
  <c r="C34" i="23" s="1"/>
  <c r="P14" i="25"/>
  <c r="C13" i="25"/>
  <c r="C12" i="25"/>
  <c r="C8" i="25"/>
  <c r="C7" i="25"/>
  <c r="C6" i="25"/>
  <c r="Z49" i="15"/>
  <c r="E66" i="15" s="1"/>
  <c r="AA49" i="15"/>
  <c r="AB49" i="15"/>
  <c r="N66" i="15" s="1"/>
  <c r="Y49" i="15"/>
  <c r="C66" i="15" s="1"/>
  <c r="AB50" i="15"/>
  <c r="N67" i="15" s="1"/>
  <c r="O67" i="15" s="1"/>
  <c r="Z50" i="15"/>
  <c r="E67" i="15" s="1"/>
  <c r="F67" i="15" s="1"/>
  <c r="AA50" i="15"/>
  <c r="G67" i="15" s="1"/>
  <c r="M67" i="15" s="1"/>
  <c r="Y50" i="15"/>
  <c r="C67" i="15" s="1"/>
  <c r="AB27" i="15"/>
  <c r="N57" i="15" s="1"/>
  <c r="Z27" i="15"/>
  <c r="E57" i="15" s="1"/>
  <c r="F57" i="15" s="1"/>
  <c r="AA27" i="15"/>
  <c r="G57" i="15" s="1"/>
  <c r="Y27" i="15"/>
  <c r="C57" i="15" s="1"/>
  <c r="Z73" i="19"/>
  <c r="E89" i="19" s="1"/>
  <c r="F89" i="19" s="1"/>
  <c r="AA73" i="19"/>
  <c r="G89" i="19" s="1"/>
  <c r="M89" i="19" s="1"/>
  <c r="AB73" i="19"/>
  <c r="N89" i="19" s="1"/>
  <c r="O89" i="19" s="1"/>
  <c r="Y73" i="19"/>
  <c r="C89" i="19" s="1"/>
  <c r="Z62" i="19"/>
  <c r="E79" i="19" s="1"/>
  <c r="AA62" i="19"/>
  <c r="G79" i="19" s="1"/>
  <c r="AB62" i="19"/>
  <c r="N79" i="19" s="1"/>
  <c r="O79" i="19" s="1"/>
  <c r="Y62" i="19"/>
  <c r="C79" i="19" s="1"/>
  <c r="Y12" i="20"/>
  <c r="J40" i="20" s="1"/>
  <c r="W12" i="20"/>
  <c r="E40" i="20" s="1"/>
  <c r="X12" i="20"/>
  <c r="V12" i="20"/>
  <c r="V17" i="20"/>
  <c r="C50" i="20" s="1"/>
  <c r="Y24" i="20"/>
  <c r="J62" i="20" s="1"/>
  <c r="W24" i="20"/>
  <c r="E62" i="20" s="1"/>
  <c r="X24" i="20"/>
  <c r="G62" i="20" s="1"/>
  <c r="V24" i="20"/>
  <c r="C62" i="20" s="1"/>
  <c r="W33" i="20"/>
  <c r="E75" i="20" s="1"/>
  <c r="X33" i="20"/>
  <c r="G75" i="20" s="1"/>
  <c r="Y33" i="20"/>
  <c r="J75" i="20" s="1"/>
  <c r="C75" i="20"/>
  <c r="AA28" i="23"/>
  <c r="E34" i="23" s="1"/>
  <c r="AB28" i="23"/>
  <c r="G34" i="23" s="1"/>
  <c r="AC28" i="23"/>
  <c r="N34" i="23" s="1"/>
  <c r="B52" i="24"/>
  <c r="B42" i="24"/>
  <c r="AD10" i="24"/>
  <c r="D36" i="24" s="1"/>
  <c r="AE10" i="24"/>
  <c r="F36" i="24" s="1"/>
  <c r="AF10" i="24"/>
  <c r="H36" i="24" s="1"/>
  <c r="AG10" i="24"/>
  <c r="AH10" i="24"/>
  <c r="AC10" i="24"/>
  <c r="B36" i="24" s="1"/>
  <c r="Z10" i="24"/>
  <c r="E32" i="24" s="1"/>
  <c r="AA10" i="24"/>
  <c r="G32" i="24" s="1"/>
  <c r="AB10" i="24"/>
  <c r="N32" i="24" s="1"/>
  <c r="Y10" i="24"/>
  <c r="C32" i="24" s="1"/>
  <c r="W10" i="24"/>
  <c r="R10" i="24"/>
  <c r="S10" i="24"/>
  <c r="T10" i="24"/>
  <c r="Q10" i="24"/>
  <c r="O10" i="24"/>
  <c r="B32" i="24" s="1"/>
  <c r="Z26" i="24"/>
  <c r="E52" i="24" s="1"/>
  <c r="AA26" i="24"/>
  <c r="G52" i="24" s="1"/>
  <c r="AB26" i="24"/>
  <c r="N52" i="24" s="1"/>
  <c r="Y26" i="24"/>
  <c r="C52" i="24" s="1"/>
  <c r="AD20" i="24"/>
  <c r="D46" i="24" s="1"/>
  <c r="AE20" i="24"/>
  <c r="AF20" i="24"/>
  <c r="AG20" i="24"/>
  <c r="AH20" i="24"/>
  <c r="AC20" i="24"/>
  <c r="Z20" i="24"/>
  <c r="Z21" i="24" s="1"/>
  <c r="E42" i="24" s="1"/>
  <c r="AA20" i="24"/>
  <c r="AA21" i="24" s="1"/>
  <c r="G42" i="24" s="1"/>
  <c r="AB20" i="24"/>
  <c r="AB21" i="24" s="1"/>
  <c r="N42" i="24" s="1"/>
  <c r="Y20" i="24"/>
  <c r="Y21" i="24" s="1"/>
  <c r="C42" i="24" s="1"/>
  <c r="W20" i="24"/>
  <c r="R20" i="24"/>
  <c r="S20" i="24"/>
  <c r="T20" i="24"/>
  <c r="Q20" i="24"/>
  <c r="O20" i="24"/>
  <c r="B41" i="24" s="1"/>
  <c r="AD25" i="24"/>
  <c r="AE25" i="24"/>
  <c r="F56" i="24" s="1"/>
  <c r="AF25" i="24"/>
  <c r="H46" i="24" s="1"/>
  <c r="AG25" i="24"/>
  <c r="AH25" i="24"/>
  <c r="AC25" i="24"/>
  <c r="B46" i="24" s="1"/>
  <c r="Z25" i="24"/>
  <c r="E51" i="24" s="1"/>
  <c r="AA25" i="24"/>
  <c r="G51" i="24" s="1"/>
  <c r="AB25" i="24"/>
  <c r="N51" i="24" s="1"/>
  <c r="Y25" i="24"/>
  <c r="C51" i="24" s="1"/>
  <c r="W25" i="24"/>
  <c r="T26" i="24"/>
  <c r="S26" i="24"/>
  <c r="R26" i="24"/>
  <c r="Q26" i="24"/>
  <c r="R25" i="24"/>
  <c r="S25" i="24"/>
  <c r="T25" i="24"/>
  <c r="Q25" i="24"/>
  <c r="O25" i="24"/>
  <c r="B51" i="24" s="1"/>
  <c r="N46" i="23"/>
  <c r="O12" i="25" s="1"/>
  <c r="G46" i="23"/>
  <c r="L12" i="25" s="1"/>
  <c r="E46" i="23"/>
  <c r="I12" i="25" s="1"/>
  <c r="M50" i="23"/>
  <c r="AE27" i="23"/>
  <c r="D38" i="23" s="1"/>
  <c r="D50" i="23" s="1"/>
  <c r="D25" i="25" s="1"/>
  <c r="AF27" i="23"/>
  <c r="F38" i="23" s="1"/>
  <c r="F50" i="23" s="1"/>
  <c r="E25" i="25" s="1"/>
  <c r="AG27" i="23"/>
  <c r="H38" i="23" s="1"/>
  <c r="H50" i="23" s="1"/>
  <c r="F25" i="25" s="1"/>
  <c r="AH27" i="23"/>
  <c r="AI27" i="23"/>
  <c r="B38" i="23"/>
  <c r="B50" i="23" s="1"/>
  <c r="C25" i="25" s="1"/>
  <c r="AA27" i="23"/>
  <c r="E33" i="23" s="1"/>
  <c r="E45" i="23" s="1"/>
  <c r="H12" i="25" s="1"/>
  <c r="AB27" i="23"/>
  <c r="G33" i="23" s="1"/>
  <c r="G45" i="23" s="1"/>
  <c r="K12" i="25" s="1"/>
  <c r="AC27" i="23"/>
  <c r="N33" i="23" s="1"/>
  <c r="N45" i="23" s="1"/>
  <c r="N12" i="25" s="1"/>
  <c r="S28" i="23"/>
  <c r="Q28" i="23"/>
  <c r="Q27" i="23"/>
  <c r="R27" i="23"/>
  <c r="S27" i="23"/>
  <c r="T27" i="23"/>
  <c r="O28" i="23"/>
  <c r="B34" i="23" s="1"/>
  <c r="O27" i="23"/>
  <c r="B33" i="23" s="1"/>
  <c r="AH13" i="22"/>
  <c r="AG13" i="22"/>
  <c r="AF13" i="22"/>
  <c r="AE13" i="22"/>
  <c r="H34" i="22" s="1"/>
  <c r="AD13" i="22"/>
  <c r="AC13" i="22"/>
  <c r="B34" i="22" s="1"/>
  <c r="Z13" i="22"/>
  <c r="E30" i="22" s="1"/>
  <c r="AA13" i="22"/>
  <c r="G30" i="22" s="1"/>
  <c r="AB13" i="22"/>
  <c r="N30" i="22" s="1"/>
  <c r="Y13" i="22"/>
  <c r="C30" i="22" s="1"/>
  <c r="W13" i="22"/>
  <c r="T13" i="22"/>
  <c r="S13" i="22"/>
  <c r="R13" i="22"/>
  <c r="Q13" i="22"/>
  <c r="O13" i="22"/>
  <c r="B30" i="22" s="1"/>
  <c r="AD10" i="22"/>
  <c r="D25" i="22" s="1"/>
  <c r="AE10" i="22"/>
  <c r="F25" i="22" s="1"/>
  <c r="AF10" i="22"/>
  <c r="H25" i="22" s="1"/>
  <c r="AG10" i="22"/>
  <c r="AH10" i="22"/>
  <c r="AC10" i="22"/>
  <c r="B25" i="22" s="1"/>
  <c r="Z10" i="22"/>
  <c r="E21" i="22" s="1"/>
  <c r="AA10" i="22"/>
  <c r="G21" i="22" s="1"/>
  <c r="AB10" i="22"/>
  <c r="N21" i="22" s="1"/>
  <c r="Y10" i="22"/>
  <c r="C21" i="22" s="1"/>
  <c r="W10" i="22"/>
  <c r="T10" i="22"/>
  <c r="S10" i="22"/>
  <c r="R10" i="22"/>
  <c r="Q10" i="22"/>
  <c r="O10" i="22"/>
  <c r="B21" i="22" s="1"/>
  <c r="R30" i="21"/>
  <c r="S30" i="21"/>
  <c r="T30" i="21"/>
  <c r="Q30" i="21"/>
  <c r="O30" i="21"/>
  <c r="B45" i="21" s="1"/>
  <c r="AD30" i="21"/>
  <c r="D49" i="21" s="1"/>
  <c r="AE30" i="21"/>
  <c r="F49" i="21" s="1"/>
  <c r="AF30" i="21"/>
  <c r="H49" i="21" s="1"/>
  <c r="AG30" i="21"/>
  <c r="AH30" i="21"/>
  <c r="AC30" i="21"/>
  <c r="B49" i="21" s="1"/>
  <c r="Z30" i="21"/>
  <c r="E45" i="21" s="1"/>
  <c r="AA30" i="21"/>
  <c r="G45" i="21" s="1"/>
  <c r="AB30" i="21"/>
  <c r="N45" i="21" s="1"/>
  <c r="Y30" i="21"/>
  <c r="C45" i="21" s="1"/>
  <c r="W30" i="21"/>
  <c r="AD18" i="21"/>
  <c r="D40" i="21" s="1"/>
  <c r="AE18" i="21"/>
  <c r="F40" i="21" s="1"/>
  <c r="AF18" i="21"/>
  <c r="H40" i="21" s="1"/>
  <c r="AG18" i="21"/>
  <c r="AH18" i="21"/>
  <c r="AC18" i="21"/>
  <c r="B40" i="21" s="1"/>
  <c r="Z18" i="21"/>
  <c r="E36" i="21" s="1"/>
  <c r="AA18" i="21"/>
  <c r="G36" i="21" s="1"/>
  <c r="AB18" i="21"/>
  <c r="N36" i="21" s="1"/>
  <c r="Y18" i="21"/>
  <c r="C36" i="21" s="1"/>
  <c r="T18" i="21"/>
  <c r="S18" i="21"/>
  <c r="R18" i="21"/>
  <c r="Q18" i="21"/>
  <c r="O18" i="21"/>
  <c r="B36" i="21" s="1"/>
  <c r="X35" i="21"/>
  <c r="U36" i="21"/>
  <c r="B75" i="20"/>
  <c r="B62" i="20"/>
  <c r="B50" i="20"/>
  <c r="B40" i="20"/>
  <c r="AC32" i="20"/>
  <c r="H79" i="20" s="1"/>
  <c r="AB32" i="20"/>
  <c r="F79" i="20" s="1"/>
  <c r="AA32" i="20"/>
  <c r="D79" i="20" s="1"/>
  <c r="Z32" i="20"/>
  <c r="B79" i="20" s="1"/>
  <c r="Y32" i="20"/>
  <c r="J74" i="20" s="1"/>
  <c r="X32" i="20"/>
  <c r="G74" i="20" s="1"/>
  <c r="W32" i="20"/>
  <c r="E74" i="20" s="1"/>
  <c r="V32" i="20"/>
  <c r="C74" i="20" s="1"/>
  <c r="P32" i="20"/>
  <c r="O32" i="20"/>
  <c r="N32" i="20"/>
  <c r="M32" i="20"/>
  <c r="K32" i="20"/>
  <c r="B74" i="20" s="1"/>
  <c r="AA23" i="20"/>
  <c r="D67" i="20" s="1"/>
  <c r="AB23" i="20"/>
  <c r="F67" i="20" s="1"/>
  <c r="AC23" i="20"/>
  <c r="H67" i="20" s="1"/>
  <c r="AD23" i="20"/>
  <c r="AE23" i="20"/>
  <c r="Z23" i="20"/>
  <c r="B67" i="20" s="1"/>
  <c r="W23" i="20"/>
  <c r="E61" i="20" s="1"/>
  <c r="X23" i="20"/>
  <c r="G61" i="20" s="1"/>
  <c r="Y23" i="20"/>
  <c r="J61" i="20" s="1"/>
  <c r="W25" i="20"/>
  <c r="E63" i="20" s="1"/>
  <c r="E87" i="20" s="1"/>
  <c r="J9" i="25" s="1"/>
  <c r="J14" i="25" s="1"/>
  <c r="X25" i="20"/>
  <c r="G63" i="20" s="1"/>
  <c r="G87" i="20" s="1"/>
  <c r="M9" i="25" s="1"/>
  <c r="M14" i="25" s="1"/>
  <c r="Y25" i="20"/>
  <c r="J63" i="20" s="1"/>
  <c r="J87" i="20" s="1"/>
  <c r="V25" i="20"/>
  <c r="C63" i="20" s="1"/>
  <c r="C87" i="20" s="1"/>
  <c r="G9" i="25" s="1"/>
  <c r="G14" i="25" s="1"/>
  <c r="V23" i="20"/>
  <c r="C61" i="20" s="1"/>
  <c r="N23" i="20"/>
  <c r="O23" i="20"/>
  <c r="P23" i="20"/>
  <c r="N25" i="20"/>
  <c r="O25" i="20"/>
  <c r="P25" i="20"/>
  <c r="M25" i="20"/>
  <c r="M23" i="20"/>
  <c r="K23" i="20"/>
  <c r="B61" i="20" s="1"/>
  <c r="K25" i="20"/>
  <c r="B63" i="20" s="1"/>
  <c r="AA16" i="20"/>
  <c r="D54" i="20" s="1"/>
  <c r="AB16" i="20"/>
  <c r="F54" i="20" s="1"/>
  <c r="AC16" i="20"/>
  <c r="H54" i="20" s="1"/>
  <c r="AD16" i="20"/>
  <c r="AE16" i="20"/>
  <c r="Z16" i="20"/>
  <c r="B54" i="20" s="1"/>
  <c r="W17" i="20"/>
  <c r="E50" i="20" s="1"/>
  <c r="X17" i="20"/>
  <c r="G50" i="20" s="1"/>
  <c r="Y17" i="20"/>
  <c r="J50" i="20" s="1"/>
  <c r="W16" i="20"/>
  <c r="E49" i="20" s="1"/>
  <c r="X16" i="20"/>
  <c r="G49" i="20" s="1"/>
  <c r="Y16" i="20"/>
  <c r="J49" i="20" s="1"/>
  <c r="V16" i="20"/>
  <c r="C49" i="20" s="1"/>
  <c r="S16" i="20"/>
  <c r="N16" i="20"/>
  <c r="O16" i="20"/>
  <c r="P16" i="20"/>
  <c r="M16" i="20"/>
  <c r="K16" i="20"/>
  <c r="B49" i="20" s="1"/>
  <c r="AA11" i="20"/>
  <c r="D44" i="20" s="1"/>
  <c r="AB11" i="20"/>
  <c r="F44" i="20" s="1"/>
  <c r="AC11" i="20"/>
  <c r="H44" i="20" s="1"/>
  <c r="AD11" i="20"/>
  <c r="AE11" i="20"/>
  <c r="Z11" i="20"/>
  <c r="B44" i="20" s="1"/>
  <c r="W11" i="20"/>
  <c r="E39" i="20" s="1"/>
  <c r="X11" i="20"/>
  <c r="Y11" i="20"/>
  <c r="J39" i="20" s="1"/>
  <c r="V11" i="20"/>
  <c r="C39" i="20" s="1"/>
  <c r="U11" i="20"/>
  <c r="A44" i="20" s="1"/>
  <c r="S11" i="20"/>
  <c r="N11" i="20"/>
  <c r="O11" i="20"/>
  <c r="P11" i="20"/>
  <c r="M11" i="20"/>
  <c r="K11" i="20"/>
  <c r="B39" i="20" s="1"/>
  <c r="M93" i="19"/>
  <c r="F93" i="19"/>
  <c r="D93" i="19"/>
  <c r="B93" i="19"/>
  <c r="M83" i="19"/>
  <c r="F83" i="19"/>
  <c r="AG72" i="19"/>
  <c r="AF72" i="19"/>
  <c r="AE72" i="19"/>
  <c r="AD72" i="19"/>
  <c r="AC72" i="19"/>
  <c r="V72" i="19"/>
  <c r="Z72" i="19"/>
  <c r="E88" i="19" s="1"/>
  <c r="AA72" i="19"/>
  <c r="G88" i="19" s="1"/>
  <c r="AB72" i="19"/>
  <c r="N88" i="19" s="1"/>
  <c r="Y72" i="19"/>
  <c r="C88" i="19" s="1"/>
  <c r="Q72" i="19"/>
  <c r="R72" i="19"/>
  <c r="S72" i="19"/>
  <c r="P72" i="19"/>
  <c r="N72" i="19"/>
  <c r="B88" i="19" s="1"/>
  <c r="B83" i="19"/>
  <c r="Z61" i="19"/>
  <c r="E78" i="19" s="1"/>
  <c r="AA61" i="19"/>
  <c r="G78" i="19" s="1"/>
  <c r="AB61" i="19"/>
  <c r="N78" i="19" s="1"/>
  <c r="Y61" i="19"/>
  <c r="C78" i="19" s="1"/>
  <c r="Q61" i="19"/>
  <c r="R61" i="19"/>
  <c r="S61" i="19"/>
  <c r="P61" i="19"/>
  <c r="N61" i="19"/>
  <c r="B78" i="19" s="1"/>
  <c r="G66" i="15"/>
  <c r="Q49" i="15"/>
  <c r="R49" i="15"/>
  <c r="S49" i="15"/>
  <c r="P49" i="15"/>
  <c r="P50" i="15" s="1"/>
  <c r="N49" i="15"/>
  <c r="B66" i="15" s="1"/>
  <c r="AG49" i="15"/>
  <c r="D71" i="15"/>
  <c r="AE49" i="15"/>
  <c r="F71" i="15" s="1"/>
  <c r="AF49" i="15"/>
  <c r="M71" i="15" s="1"/>
  <c r="B71" i="15"/>
  <c r="D61" i="15"/>
  <c r="F61" i="15"/>
  <c r="M61" i="15"/>
  <c r="AC26" i="15"/>
  <c r="B61" i="15" s="1"/>
  <c r="Z26" i="15"/>
  <c r="E56" i="15" s="1"/>
  <c r="AA26" i="15"/>
  <c r="G56" i="15" s="1"/>
  <c r="AB26" i="15"/>
  <c r="N56" i="15" s="1"/>
  <c r="Y26" i="15"/>
  <c r="C56" i="15" s="1"/>
  <c r="Q26" i="15"/>
  <c r="R26" i="15"/>
  <c r="S26" i="15"/>
  <c r="P26" i="15"/>
  <c r="N26" i="15"/>
  <c r="B56" i="15" s="1"/>
  <c r="M60" i="14"/>
  <c r="M59" i="14"/>
  <c r="M48" i="14"/>
  <c r="M47" i="14"/>
  <c r="M38" i="14"/>
  <c r="O38" i="14" s="1"/>
  <c r="M37" i="14"/>
  <c r="D38" i="14"/>
  <c r="F38" i="14" s="1"/>
  <c r="D28" i="14"/>
  <c r="F28" i="14"/>
  <c r="M28" i="14"/>
  <c r="O28" i="14"/>
  <c r="M56" i="24"/>
  <c r="M46" i="24"/>
  <c r="M36" i="24"/>
  <c r="U30" i="24"/>
  <c r="X24" i="24"/>
  <c r="X23" i="24"/>
  <c r="X22" i="24"/>
  <c r="X19" i="24"/>
  <c r="X18" i="24"/>
  <c r="X17" i="24"/>
  <c r="X16" i="24"/>
  <c r="X15" i="24"/>
  <c r="X14" i="24"/>
  <c r="X13" i="24"/>
  <c r="X12" i="24"/>
  <c r="X11" i="24"/>
  <c r="X9" i="24"/>
  <c r="AX8" i="24"/>
  <c r="AY8" i="24" s="1"/>
  <c r="X8" i="24"/>
  <c r="M38" i="23"/>
  <c r="Y24" i="23"/>
  <c r="Y19" i="23"/>
  <c r="Y15" i="23"/>
  <c r="W8" i="23"/>
  <c r="M34" i="22"/>
  <c r="M25" i="22"/>
  <c r="U16" i="22"/>
  <c r="X12" i="22"/>
  <c r="X11" i="22"/>
  <c r="AX9" i="22"/>
  <c r="X9" i="22"/>
  <c r="X8" i="22"/>
  <c r="M49" i="21"/>
  <c r="M40" i="21"/>
  <c r="U33" i="21"/>
  <c r="X29" i="21"/>
  <c r="X28" i="21"/>
  <c r="X25" i="21"/>
  <c r="X24" i="21"/>
  <c r="X22" i="21"/>
  <c r="X21" i="21"/>
  <c r="X19" i="21"/>
  <c r="X17" i="21"/>
  <c r="W15" i="21"/>
  <c r="X15" i="21" s="1"/>
  <c r="W14" i="21"/>
  <c r="X14" i="21" s="1"/>
  <c r="W13" i="21"/>
  <c r="X13" i="21" s="1"/>
  <c r="W11" i="21"/>
  <c r="X11" i="21" s="1"/>
  <c r="Q35" i="20"/>
  <c r="S26" i="20"/>
  <c r="U26" i="20" s="1"/>
  <c r="U22" i="20"/>
  <c r="U21" i="20"/>
  <c r="U20" i="20"/>
  <c r="N20" i="20"/>
  <c r="O20" i="20" s="1"/>
  <c r="U19" i="20"/>
  <c r="S18" i="20"/>
  <c r="U18" i="20" s="1"/>
  <c r="U15" i="20"/>
  <c r="U14" i="20"/>
  <c r="U13" i="20"/>
  <c r="T74" i="19"/>
  <c r="X71" i="19"/>
  <c r="X68" i="19"/>
  <c r="AH68" i="19" s="1"/>
  <c r="X67" i="19"/>
  <c r="AH67" i="19" s="1"/>
  <c r="X63" i="19"/>
  <c r="AH63" i="19" s="1"/>
  <c r="AH12" i="19"/>
  <c r="X9" i="19"/>
  <c r="AH9" i="19" s="1"/>
  <c r="T52" i="15"/>
  <c r="X45" i="15"/>
  <c r="AH45" i="15" s="1"/>
  <c r="X44" i="15"/>
  <c r="AH44" i="15" s="1"/>
  <c r="X37" i="15"/>
  <c r="AH37" i="15" s="1"/>
  <c r="V35" i="15"/>
  <c r="AH34" i="15"/>
  <c r="AH33" i="15"/>
  <c r="V32" i="15"/>
  <c r="X30" i="15"/>
  <c r="AH30" i="15" s="1"/>
  <c r="X28" i="15"/>
  <c r="X25" i="15"/>
  <c r="AH25" i="15" s="1"/>
  <c r="X24" i="15"/>
  <c r="AH24" i="15" s="1"/>
  <c r="X23" i="15"/>
  <c r="AH23" i="15" s="1"/>
  <c r="X22" i="15"/>
  <c r="AH22" i="15" s="1"/>
  <c r="X21" i="15"/>
  <c r="AH21" i="15" s="1"/>
  <c r="X20" i="15"/>
  <c r="AH20" i="15" s="1"/>
  <c r="X19" i="15"/>
  <c r="V18" i="15"/>
  <c r="X18" i="15" s="1"/>
  <c r="AH18" i="15" s="1"/>
  <c r="V16" i="15"/>
  <c r="X16" i="15" s="1"/>
  <c r="AH16" i="15" s="1"/>
  <c r="X15" i="15"/>
  <c r="AH15" i="15" s="1"/>
  <c r="V14" i="15"/>
  <c r="X14" i="15" s="1"/>
  <c r="AH14" i="15" s="1"/>
  <c r="V12" i="15"/>
  <c r="X12" i="15" s="1"/>
  <c r="AH12" i="15" s="1"/>
  <c r="X10" i="15"/>
  <c r="AH10" i="15" s="1"/>
  <c r="X8" i="15"/>
  <c r="AH8" i="15" s="1"/>
  <c r="Y23" i="14"/>
  <c r="E48" i="14" s="1"/>
  <c r="E60" i="14" s="1"/>
  <c r="I6" i="25" s="1"/>
  <c r="Z23" i="14"/>
  <c r="G48" i="14" s="1"/>
  <c r="G60" i="14" s="1"/>
  <c r="L6" i="25" s="1"/>
  <c r="AA23" i="14"/>
  <c r="N48" i="14" s="1"/>
  <c r="N60" i="14" s="1"/>
  <c r="O6" i="25" s="1"/>
  <c r="X23" i="14"/>
  <c r="C48" i="14" s="1"/>
  <c r="P23" i="14"/>
  <c r="Q23" i="14"/>
  <c r="R23" i="14"/>
  <c r="S23" i="14"/>
  <c r="N23" i="14"/>
  <c r="B48" i="14" s="1"/>
  <c r="N22" i="14"/>
  <c r="B47" i="14" s="1"/>
  <c r="AG22" i="14"/>
  <c r="AF22" i="14"/>
  <c r="AE22" i="14"/>
  <c r="M52" i="14" s="1"/>
  <c r="N52" i="14" s="1"/>
  <c r="AD22" i="14"/>
  <c r="F52" i="14" s="1"/>
  <c r="AC22" i="14"/>
  <c r="D52" i="14" s="1"/>
  <c r="AB22" i="14"/>
  <c r="B52" i="14" s="1"/>
  <c r="AA22" i="14"/>
  <c r="N47" i="14" s="1"/>
  <c r="Z22" i="14"/>
  <c r="G47" i="14" s="1"/>
  <c r="Y22" i="14"/>
  <c r="E47" i="14" s="1"/>
  <c r="X22" i="14"/>
  <c r="C47" i="14" s="1"/>
  <c r="S22" i="14"/>
  <c r="R22" i="14"/>
  <c r="Q22" i="14"/>
  <c r="P22" i="14"/>
  <c r="AC17" i="14"/>
  <c r="D42" i="14" s="1"/>
  <c r="AD17" i="14"/>
  <c r="F42" i="14" s="1"/>
  <c r="AE17" i="14"/>
  <c r="M42" i="14" s="1"/>
  <c r="N42" i="14" s="1"/>
  <c r="AF17" i="14"/>
  <c r="AG17" i="14"/>
  <c r="AB17" i="14"/>
  <c r="B42" i="14" s="1"/>
  <c r="Y17" i="14"/>
  <c r="E37" i="14" s="1"/>
  <c r="Z17" i="14"/>
  <c r="G37" i="14" s="1"/>
  <c r="AA17" i="14"/>
  <c r="N37" i="14" s="1"/>
  <c r="X17" i="14"/>
  <c r="C37" i="14" s="1"/>
  <c r="P17" i="14"/>
  <c r="Q17" i="14"/>
  <c r="R17" i="14"/>
  <c r="S17" i="14"/>
  <c r="N17" i="14"/>
  <c r="B37" i="14" s="1"/>
  <c r="AF11" i="14"/>
  <c r="AG11" i="14"/>
  <c r="AC11" i="14"/>
  <c r="D32" i="14" s="1"/>
  <c r="AD11" i="14"/>
  <c r="F32" i="14" s="1"/>
  <c r="AE11" i="14"/>
  <c r="M32" i="14" s="1"/>
  <c r="N32" i="14" s="1"/>
  <c r="AB11" i="14"/>
  <c r="B32" i="14" s="1"/>
  <c r="Y11" i="14"/>
  <c r="Z11" i="14"/>
  <c r="G27" i="14" s="1"/>
  <c r="AA11" i="14"/>
  <c r="N27" i="14" s="1"/>
  <c r="X11" i="14"/>
  <c r="C27" i="14" s="1"/>
  <c r="Q11" i="14"/>
  <c r="R11" i="14"/>
  <c r="S11" i="14"/>
  <c r="P11" i="14"/>
  <c r="N11" i="14"/>
  <c r="B27" i="14" s="1"/>
  <c r="F27" i="14" s="1"/>
  <c r="T27" i="14"/>
  <c r="V18" i="14"/>
  <c r="W18" i="14" s="1"/>
  <c r="W22" i="14" s="1"/>
  <c r="V12" i="14"/>
  <c r="W12" i="14" s="1"/>
  <c r="W17" i="14" s="1"/>
  <c r="W10" i="14"/>
  <c r="W9" i="14"/>
  <c r="V7" i="14"/>
  <c r="W7" i="14" s="1"/>
  <c r="F36" i="21" l="1"/>
  <c r="W11" i="14"/>
  <c r="E55" i="21"/>
  <c r="H10" i="25" s="1"/>
  <c r="O21" i="22"/>
  <c r="G25" i="25"/>
  <c r="W27" i="23"/>
  <c r="Y8" i="23"/>
  <c r="O51" i="24"/>
  <c r="F34" i="23"/>
  <c r="H44" i="22"/>
  <c r="F24" i="25" s="1"/>
  <c r="AH28" i="15"/>
  <c r="H21" i="22"/>
  <c r="X35" i="15"/>
  <c r="AH35" i="15" s="1"/>
  <c r="X32" i="15"/>
  <c r="AH71" i="19"/>
  <c r="A93" i="19"/>
  <c r="N93" i="19" s="1"/>
  <c r="F34" i="22"/>
  <c r="D34" i="22"/>
  <c r="D44" i="22" s="1"/>
  <c r="D24" i="25" s="1"/>
  <c r="F104" i="19"/>
  <c r="E21" i="25" s="1"/>
  <c r="C99" i="19"/>
  <c r="E8" i="25" s="1"/>
  <c r="M82" i="15"/>
  <c r="F20" i="25" s="1"/>
  <c r="E59" i="14"/>
  <c r="H6" i="25" s="1"/>
  <c r="X10" i="22"/>
  <c r="A25" i="22" s="1"/>
  <c r="C25" i="22" s="1"/>
  <c r="B77" i="15"/>
  <c r="B7" i="25" s="1"/>
  <c r="N55" i="21"/>
  <c r="N10" i="25" s="1"/>
  <c r="Z27" i="23"/>
  <c r="J44" i="20"/>
  <c r="F59" i="21"/>
  <c r="E23" i="25" s="1"/>
  <c r="F46" i="24"/>
  <c r="F68" i="24" s="1"/>
  <c r="E26" i="25" s="1"/>
  <c r="B59" i="14"/>
  <c r="B6" i="25" s="1"/>
  <c r="N59" i="14"/>
  <c r="X72" i="19"/>
  <c r="AH72" i="19" s="1"/>
  <c r="M44" i="22"/>
  <c r="X25" i="24"/>
  <c r="A56" i="24" s="1"/>
  <c r="G56" i="24" s="1"/>
  <c r="O37" i="14"/>
  <c r="F56" i="15"/>
  <c r="D104" i="19"/>
  <c r="D21" i="25" s="1"/>
  <c r="H63" i="20"/>
  <c r="C55" i="21"/>
  <c r="E10" i="25" s="1"/>
  <c r="B59" i="21"/>
  <c r="C23" i="25" s="1"/>
  <c r="N41" i="24"/>
  <c r="O41" i="24" s="1"/>
  <c r="X10" i="24"/>
  <c r="A36" i="24" s="1"/>
  <c r="E36" i="24" s="1"/>
  <c r="N99" i="19"/>
  <c r="N8" i="25" s="1"/>
  <c r="C40" i="22"/>
  <c r="E11" i="25" s="1"/>
  <c r="M27" i="14"/>
  <c r="D56" i="15"/>
  <c r="M78" i="19"/>
  <c r="E99" i="19"/>
  <c r="M104" i="19"/>
  <c r="F21" i="25" s="1"/>
  <c r="G55" i="21"/>
  <c r="K10" i="25" s="1"/>
  <c r="H36" i="21"/>
  <c r="F51" i="24"/>
  <c r="N64" i="24"/>
  <c r="O13" i="25" s="1"/>
  <c r="H42" i="24"/>
  <c r="D52" i="24"/>
  <c r="H59" i="21"/>
  <c r="F23" i="25" s="1"/>
  <c r="G40" i="22"/>
  <c r="K11" i="25" s="1"/>
  <c r="G64" i="24"/>
  <c r="H64" i="24" s="1"/>
  <c r="E41" i="24"/>
  <c r="F41" i="24" s="1"/>
  <c r="H56" i="24"/>
  <c r="H68" i="24" s="1"/>
  <c r="F26" i="25" s="1"/>
  <c r="B82" i="15"/>
  <c r="C20" i="25" s="1"/>
  <c r="F88" i="19"/>
  <c r="M88" i="19"/>
  <c r="B99" i="19"/>
  <c r="O88" i="19"/>
  <c r="D88" i="19"/>
  <c r="G99" i="19"/>
  <c r="O30" i="22"/>
  <c r="D30" i="22"/>
  <c r="F30" i="22"/>
  <c r="B40" i="22"/>
  <c r="H30" i="22"/>
  <c r="F45" i="21"/>
  <c r="D45" i="21"/>
  <c r="O45" i="21"/>
  <c r="B55" i="21"/>
  <c r="G59" i="14"/>
  <c r="K6" i="25" s="1"/>
  <c r="F64" i="14"/>
  <c r="E19" i="25" s="1"/>
  <c r="O27" i="14"/>
  <c r="F82" i="15"/>
  <c r="E20" i="25" s="1"/>
  <c r="F78" i="19"/>
  <c r="D78" i="19"/>
  <c r="O78" i="19"/>
  <c r="B104" i="19"/>
  <c r="C21" i="25" s="1"/>
  <c r="E100" i="19"/>
  <c r="F100" i="19" s="1"/>
  <c r="M64" i="14"/>
  <c r="F19" i="25" s="1"/>
  <c r="O60" i="14"/>
  <c r="D82" i="15"/>
  <c r="D20" i="25" s="1"/>
  <c r="H45" i="21"/>
  <c r="C36" i="24"/>
  <c r="X13" i="22"/>
  <c r="A34" i="22" s="1"/>
  <c r="N34" i="22" s="1"/>
  <c r="O47" i="14"/>
  <c r="M56" i="15"/>
  <c r="D34" i="23"/>
  <c r="C46" i="23"/>
  <c r="D27" i="14"/>
  <c r="X61" i="19"/>
  <c r="M66" i="15"/>
  <c r="O56" i="15"/>
  <c r="D56" i="24"/>
  <c r="E64" i="24"/>
  <c r="E40" i="22"/>
  <c r="H11" i="25" s="1"/>
  <c r="F33" i="23"/>
  <c r="O33" i="23"/>
  <c r="X20" i="24"/>
  <c r="A46" i="24" s="1"/>
  <c r="C46" i="24" s="1"/>
  <c r="O48" i="14"/>
  <c r="D47" i="14"/>
  <c r="F47" i="14" s="1"/>
  <c r="X26" i="15"/>
  <c r="O66" i="15"/>
  <c r="D59" i="21"/>
  <c r="D23" i="25" s="1"/>
  <c r="N40" i="22"/>
  <c r="N11" i="25" s="1"/>
  <c r="F44" i="22"/>
  <c r="E24" i="25" s="1"/>
  <c r="H33" i="23"/>
  <c r="D51" i="24"/>
  <c r="H51" i="24"/>
  <c r="B63" i="24"/>
  <c r="C64" i="24"/>
  <c r="B45" i="23"/>
  <c r="B12" i="25" s="1"/>
  <c r="O36" i="21"/>
  <c r="B44" i="22"/>
  <c r="C24" i="25" s="1"/>
  <c r="F21" i="22"/>
  <c r="F42" i="24"/>
  <c r="O52" i="24"/>
  <c r="F52" i="24"/>
  <c r="B56" i="24"/>
  <c r="O34" i="23"/>
  <c r="D49" i="20"/>
  <c r="F74" i="20"/>
  <c r="D36" i="21"/>
  <c r="D21" i="22"/>
  <c r="C41" i="24"/>
  <c r="C63" i="24" s="1"/>
  <c r="E13" i="25" s="1"/>
  <c r="G41" i="24"/>
  <c r="H41" i="24" s="1"/>
  <c r="H34" i="23"/>
  <c r="D42" i="24"/>
  <c r="H52" i="24"/>
  <c r="F66" i="15"/>
  <c r="E77" i="15"/>
  <c r="G77" i="15"/>
  <c r="N77" i="15"/>
  <c r="D66" i="15"/>
  <c r="C77" i="15"/>
  <c r="N78" i="15"/>
  <c r="O57" i="15"/>
  <c r="M57" i="15"/>
  <c r="G78" i="15"/>
  <c r="E78" i="15"/>
  <c r="D57" i="15"/>
  <c r="C78" i="15"/>
  <c r="C100" i="19"/>
  <c r="G100" i="19"/>
  <c r="M100" i="19" s="1"/>
  <c r="M79" i="19"/>
  <c r="F79" i="19"/>
  <c r="N100" i="19"/>
  <c r="D79" i="19"/>
  <c r="D32" i="24"/>
  <c r="F32" i="24"/>
  <c r="H32" i="24"/>
  <c r="O32" i="24"/>
  <c r="M68" i="24"/>
  <c r="E63" i="24"/>
  <c r="H13" i="25" s="1"/>
  <c r="O46" i="23"/>
  <c r="F46" i="23"/>
  <c r="H46" i="23"/>
  <c r="X18" i="21"/>
  <c r="A40" i="21" s="1"/>
  <c r="X30" i="21"/>
  <c r="A49" i="21" s="1"/>
  <c r="N49" i="21" s="1"/>
  <c r="W18" i="21"/>
  <c r="M59" i="21"/>
  <c r="E85" i="20"/>
  <c r="H9" i="25" s="1"/>
  <c r="K62" i="20"/>
  <c r="K50" i="20"/>
  <c r="F62" i="20"/>
  <c r="K39" i="20"/>
  <c r="H49" i="20"/>
  <c r="H61" i="20"/>
  <c r="C85" i="20"/>
  <c r="E9" i="25" s="1"/>
  <c r="F75" i="20"/>
  <c r="K49" i="20"/>
  <c r="J86" i="20"/>
  <c r="B91" i="20"/>
  <c r="C22" i="25" s="1"/>
  <c r="H62" i="20"/>
  <c r="F49" i="20"/>
  <c r="D91" i="20"/>
  <c r="D22" i="25" s="1"/>
  <c r="F91" i="20"/>
  <c r="E22" i="25" s="1"/>
  <c r="H91" i="20"/>
  <c r="F22" i="25" s="1"/>
  <c r="K40" i="20"/>
  <c r="J85" i="20"/>
  <c r="N9" i="25" s="1"/>
  <c r="F39" i="20"/>
  <c r="C44" i="20"/>
  <c r="D62" i="20"/>
  <c r="H74" i="20"/>
  <c r="F40" i="20"/>
  <c r="E44" i="20"/>
  <c r="F50" i="20"/>
  <c r="F61" i="20"/>
  <c r="K61" i="20"/>
  <c r="H75" i="20"/>
  <c r="E86" i="20"/>
  <c r="G44" i="20"/>
  <c r="F63" i="20"/>
  <c r="K63" i="20"/>
  <c r="D74" i="20"/>
  <c r="K74" i="20"/>
  <c r="B85" i="20"/>
  <c r="B9" i="25" s="1"/>
  <c r="D39" i="20"/>
  <c r="H50" i="20"/>
  <c r="D75" i="20"/>
  <c r="K75" i="20"/>
  <c r="B87" i="20"/>
  <c r="D9" i="25" s="1"/>
  <c r="D14" i="25" s="1"/>
  <c r="D61" i="20"/>
  <c r="D50" i="20"/>
  <c r="D63" i="20"/>
  <c r="U16" i="20"/>
  <c r="A54" i="20" s="1"/>
  <c r="C54" i="20" s="1"/>
  <c r="U32" i="20"/>
  <c r="A79" i="20" s="1"/>
  <c r="U23" i="20"/>
  <c r="A67" i="20" s="1"/>
  <c r="S32" i="20"/>
  <c r="S23" i="20"/>
  <c r="G39" i="20"/>
  <c r="H39" i="20" s="1"/>
  <c r="G40" i="20"/>
  <c r="H40" i="20" s="1"/>
  <c r="V61" i="19"/>
  <c r="V49" i="15"/>
  <c r="V26" i="15"/>
  <c r="D48" i="14"/>
  <c r="F48" i="14" s="1"/>
  <c r="C60" i="14"/>
  <c r="C59" i="14"/>
  <c r="D37" i="14"/>
  <c r="F37" i="14" s="1"/>
  <c r="AR31" i="23"/>
  <c r="U33" i="23"/>
  <c r="V30" i="23"/>
  <c r="U29" i="23"/>
  <c r="V20" i="22"/>
  <c r="AQ21" i="22"/>
  <c r="AQ37" i="21"/>
  <c r="AN40" i="20"/>
  <c r="AQ79" i="19"/>
  <c r="AE57" i="15"/>
  <c r="D64" i="14"/>
  <c r="D19" i="25" s="1"/>
  <c r="B64" i="14"/>
  <c r="V22" i="14"/>
  <c r="A52" i="14" s="1"/>
  <c r="C52" i="14" s="1"/>
  <c r="E52" i="14" s="1"/>
  <c r="G52" i="14" s="1"/>
  <c r="V17" i="14"/>
  <c r="A42" i="14" s="1"/>
  <c r="C42" i="14" s="1"/>
  <c r="E42" i="14" s="1"/>
  <c r="G42" i="14" s="1"/>
  <c r="V11" i="14"/>
  <c r="A32" i="14" s="1"/>
  <c r="E32" i="14" s="1"/>
  <c r="AQ34" i="14"/>
  <c r="N36" i="24" l="1"/>
  <c r="E54" i="20"/>
  <c r="G20" i="25"/>
  <c r="F27" i="25"/>
  <c r="X49" i="15"/>
  <c r="AH49" i="15" s="1"/>
  <c r="N46" i="24"/>
  <c r="E27" i="25"/>
  <c r="G21" i="25"/>
  <c r="G24" i="25"/>
  <c r="G22" i="25"/>
  <c r="G23" i="25"/>
  <c r="E25" i="22"/>
  <c r="C93" i="19"/>
  <c r="G46" i="24"/>
  <c r="G25" i="22"/>
  <c r="AH32" i="15"/>
  <c r="AH26" i="15"/>
  <c r="A61" i="15"/>
  <c r="E61" i="15" s="1"/>
  <c r="G54" i="20"/>
  <c r="E49" i="21"/>
  <c r="J54" i="20"/>
  <c r="F45" i="23"/>
  <c r="C56" i="24"/>
  <c r="A44" i="22"/>
  <c r="G44" i="22" s="1"/>
  <c r="N25" i="22"/>
  <c r="E56" i="24"/>
  <c r="AH61" i="19"/>
  <c r="A83" i="19"/>
  <c r="E83" i="19" s="1"/>
  <c r="G49" i="21"/>
  <c r="G36" i="24"/>
  <c r="G93" i="19"/>
  <c r="N56" i="24"/>
  <c r="C49" i="21"/>
  <c r="G34" i="22"/>
  <c r="E93" i="19"/>
  <c r="A68" i="24"/>
  <c r="N68" i="24" s="1"/>
  <c r="AQ34" i="24"/>
  <c r="O45" i="23"/>
  <c r="E46" i="24"/>
  <c r="E34" i="22"/>
  <c r="C33" i="23"/>
  <c r="C45" i="23" s="1"/>
  <c r="E12" i="25" s="1"/>
  <c r="Z32" i="23"/>
  <c r="O64" i="24"/>
  <c r="N63" i="24"/>
  <c r="N13" i="25" s="1"/>
  <c r="H45" i="23"/>
  <c r="L13" i="25"/>
  <c r="O59" i="14"/>
  <c r="N6" i="25"/>
  <c r="K86" i="20"/>
  <c r="O9" i="25"/>
  <c r="E40" i="21"/>
  <c r="C40" i="21"/>
  <c r="N40" i="21"/>
  <c r="G40" i="21"/>
  <c r="F78" i="15"/>
  <c r="I7" i="25"/>
  <c r="I8" i="25"/>
  <c r="O78" i="15"/>
  <c r="O7" i="25"/>
  <c r="M77" i="15"/>
  <c r="K7" i="25"/>
  <c r="K8" i="25"/>
  <c r="C32" i="14"/>
  <c r="G32" i="14" s="1"/>
  <c r="I13" i="25"/>
  <c r="F64" i="24"/>
  <c r="A59" i="21"/>
  <c r="F86" i="20"/>
  <c r="I9" i="25"/>
  <c r="O100" i="19"/>
  <c r="O8" i="25"/>
  <c r="D100" i="19"/>
  <c r="F8" i="25"/>
  <c r="M78" i="15"/>
  <c r="L8" i="25"/>
  <c r="L7" i="25"/>
  <c r="D77" i="15"/>
  <c r="E7" i="25"/>
  <c r="F77" i="15"/>
  <c r="H8" i="25"/>
  <c r="H7" i="25"/>
  <c r="F13" i="25"/>
  <c r="D64" i="24"/>
  <c r="F12" i="25"/>
  <c r="D46" i="23"/>
  <c r="N64" i="14"/>
  <c r="B8" i="25"/>
  <c r="D99" i="19"/>
  <c r="O99" i="19"/>
  <c r="M99" i="19"/>
  <c r="F99" i="19"/>
  <c r="A64" i="14"/>
  <c r="B19" i="25" s="1"/>
  <c r="D60" i="14"/>
  <c r="F60" i="14" s="1"/>
  <c r="F6" i="25"/>
  <c r="B68" i="24"/>
  <c r="C26" i="25" s="1"/>
  <c r="D68" i="24"/>
  <c r="D26" i="25" s="1"/>
  <c r="D78" i="15"/>
  <c r="F7" i="25"/>
  <c r="B13" i="25"/>
  <c r="F63" i="24"/>
  <c r="D63" i="24"/>
  <c r="C34" i="22"/>
  <c r="D41" i="24"/>
  <c r="Y27" i="23"/>
  <c r="A38" i="23" s="1"/>
  <c r="F55" i="21"/>
  <c r="D55" i="21"/>
  <c r="O55" i="21"/>
  <c r="B10" i="25"/>
  <c r="H55" i="21"/>
  <c r="O40" i="22"/>
  <c r="B11" i="25"/>
  <c r="D40" i="22"/>
  <c r="F40" i="22"/>
  <c r="H40" i="22"/>
  <c r="G63" i="24"/>
  <c r="K13" i="25" s="1"/>
  <c r="O77" i="15"/>
  <c r="N7" i="25"/>
  <c r="D59" i="14"/>
  <c r="F59" i="14" s="1"/>
  <c r="E6" i="25"/>
  <c r="C19" i="25"/>
  <c r="G19" i="25" s="1"/>
  <c r="H19" i="25" s="1"/>
  <c r="G86" i="20"/>
  <c r="E67" i="20"/>
  <c r="C67" i="20"/>
  <c r="J67" i="20"/>
  <c r="G67" i="20"/>
  <c r="E79" i="20"/>
  <c r="C79" i="20"/>
  <c r="A91" i="20"/>
  <c r="B22" i="25" s="1"/>
  <c r="J79" i="20"/>
  <c r="G79" i="20"/>
  <c r="G85" i="20"/>
  <c r="H87" i="20"/>
  <c r="D87" i="20"/>
  <c r="K87" i="20"/>
  <c r="F87" i="20"/>
  <c r="K85" i="20"/>
  <c r="F85" i="20"/>
  <c r="D85" i="20"/>
  <c r="U36" i="24"/>
  <c r="X29" i="24"/>
  <c r="V33" i="24"/>
  <c r="X32" i="24"/>
  <c r="X18" i="22"/>
  <c r="X15" i="22"/>
  <c r="U22" i="22"/>
  <c r="U19" i="22"/>
  <c r="U39" i="21"/>
  <c r="X32" i="21"/>
  <c r="Q42" i="20"/>
  <c r="R39" i="20"/>
  <c r="Q38" i="20"/>
  <c r="U37" i="20"/>
  <c r="U34" i="20"/>
  <c r="T77" i="19"/>
  <c r="T81" i="19"/>
  <c r="X51" i="15"/>
  <c r="U33" i="14"/>
  <c r="T32" i="14"/>
  <c r="W31" i="14"/>
  <c r="T36" i="14"/>
  <c r="W26" i="14"/>
  <c r="B26" i="25" l="1"/>
  <c r="A71" i="15"/>
  <c r="E71" i="15" s="1"/>
  <c r="N44" i="22"/>
  <c r="A104" i="19"/>
  <c r="B21" i="25" s="1"/>
  <c r="H21" i="25" s="1"/>
  <c r="C83" i="19"/>
  <c r="E44" i="22"/>
  <c r="G68" i="24"/>
  <c r="G83" i="19"/>
  <c r="N83" i="19"/>
  <c r="C61" i="15"/>
  <c r="C44" i="22"/>
  <c r="H22" i="25"/>
  <c r="D27" i="25"/>
  <c r="G26" i="25"/>
  <c r="H26" i="25" s="1"/>
  <c r="B24" i="25"/>
  <c r="H24" i="25" s="1"/>
  <c r="G61" i="15"/>
  <c r="N61" i="15"/>
  <c r="D45" i="23"/>
  <c r="C38" i="23"/>
  <c r="A50" i="23"/>
  <c r="N38" i="23"/>
  <c r="E38" i="23"/>
  <c r="G38" i="23"/>
  <c r="O63" i="24"/>
  <c r="D33" i="23"/>
  <c r="N71" i="15"/>
  <c r="H14" i="25"/>
  <c r="O14" i="25"/>
  <c r="E14" i="25"/>
  <c r="N14" i="25"/>
  <c r="I14" i="25"/>
  <c r="E68" i="24"/>
  <c r="H63" i="24"/>
  <c r="C27" i="25"/>
  <c r="E59" i="21"/>
  <c r="C59" i="21"/>
  <c r="B23" i="25"/>
  <c r="H23" i="25" s="1"/>
  <c r="N59" i="21"/>
  <c r="G59" i="21"/>
  <c r="H86" i="20"/>
  <c r="L9" i="25"/>
  <c r="L14" i="25" s="1"/>
  <c r="B14" i="25"/>
  <c r="C68" i="24"/>
  <c r="H85" i="20"/>
  <c r="K9" i="25"/>
  <c r="K14" i="25" s="1"/>
  <c r="C64" i="14"/>
  <c r="E64" i="14" s="1"/>
  <c r="G64" i="14" s="1"/>
  <c r="C91" i="20"/>
  <c r="E91" i="20"/>
  <c r="G91" i="20"/>
  <c r="J91" i="20"/>
  <c r="G71" i="15" l="1"/>
  <c r="C71" i="15"/>
  <c r="A82" i="15"/>
  <c r="N82" i="15" s="1"/>
  <c r="E104" i="19"/>
  <c r="N104" i="19"/>
  <c r="G104" i="19"/>
  <c r="C104" i="19"/>
  <c r="G27" i="25"/>
  <c r="C82" i="15"/>
  <c r="E82" i="15"/>
  <c r="B20" i="25"/>
  <c r="H20" i="25" s="1"/>
  <c r="G82" i="15"/>
  <c r="G50" i="23"/>
  <c r="B25" i="25"/>
  <c r="H25" i="25" s="1"/>
  <c r="C50" i="23"/>
  <c r="N50" i="23"/>
  <c r="E50" i="23"/>
  <c r="AZ172" i="5"/>
  <c r="BA172" i="5" s="1"/>
  <c r="AZ156" i="5"/>
  <c r="B27" i="25" l="1"/>
  <c r="B30" i="25" s="1"/>
  <c r="T186" i="5"/>
  <c r="Y186" i="5"/>
  <c r="H27" i="25" l="1"/>
  <c r="V186" i="5"/>
  <c r="U186" i="5"/>
  <c r="Z186" i="5"/>
  <c r="AS195" i="5" l="1"/>
  <c r="Z191" i="5"/>
  <c r="C40" i="20"/>
  <c r="D40" i="20" s="1"/>
  <c r="C86" i="20" l="1"/>
  <c r="D86" i="20" l="1"/>
  <c r="F9" i="25"/>
  <c r="F14"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Alberto Puerta Valderrama</author>
    <author>PLANEACION</author>
  </authors>
  <commentList>
    <comment ref="Y8" authorId="0" shapeId="0" xr:uid="{4BED95CB-9CCF-4177-B0DF-2548C732FA83}">
      <text>
        <r>
          <rPr>
            <sz val="9"/>
            <color rgb="FF000000"/>
            <rFont val="Tahoma"/>
            <family val="2"/>
          </rPr>
          <t xml:space="preserve">Yan Marcil
</t>
        </r>
        <r>
          <rPr>
            <sz val="9"/>
            <color rgb="FF000000"/>
            <rFont val="Tahoma"/>
            <family val="2"/>
          </rPr>
          <t xml:space="preserve">Ricardo Castrillon
</t>
        </r>
        <r>
          <rPr>
            <sz val="9"/>
            <color rgb="FF000000"/>
            <rFont val="Tahoma"/>
            <family val="2"/>
          </rPr>
          <t xml:space="preserve">Vanesa Alvarez
</t>
        </r>
        <r>
          <rPr>
            <sz val="9"/>
            <color rgb="FF000000"/>
            <rFont val="Tahoma"/>
            <family val="2"/>
          </rPr>
          <t xml:space="preserve">Hector Garro
</t>
        </r>
        <r>
          <rPr>
            <sz val="9"/>
            <color rgb="FF000000"/>
            <rFont val="Tahoma"/>
            <family val="2"/>
          </rPr>
          <t xml:space="preserve">Paula Salazar
</t>
        </r>
        <r>
          <rPr>
            <sz val="9"/>
            <color rgb="FF000000"/>
            <rFont val="Tahoma"/>
            <family val="2"/>
          </rPr>
          <t xml:space="preserve">Auren (Revisoria fiscal)
</t>
        </r>
        <r>
          <rPr>
            <sz val="9"/>
            <color rgb="FF000000"/>
            <rFont val="Tahoma"/>
            <family val="2"/>
          </rPr>
          <t>Mercadeo y contratacion</t>
        </r>
      </text>
    </comment>
    <comment ref="Y12" authorId="0" shapeId="0" xr:uid="{00E139A4-4B90-4268-8444-D69336625513}">
      <text>
        <r>
          <rPr>
            <sz val="9"/>
            <color rgb="FF000000"/>
            <rFont val="Tahoma"/>
            <family val="2"/>
          </rPr>
          <t xml:space="preserve">
</t>
        </r>
        <r>
          <rPr>
            <sz val="9"/>
            <color rgb="FF000000"/>
            <rFont val="Tahoma"/>
            <family val="2"/>
          </rPr>
          <t xml:space="preserve">Noralba Castaño
</t>
        </r>
        <r>
          <rPr>
            <sz val="9"/>
            <color rgb="FF000000"/>
            <rFont val="Tahoma"/>
            <family val="2"/>
          </rPr>
          <t xml:space="preserve">Natalia martinez
</t>
        </r>
        <r>
          <rPr>
            <sz val="9"/>
            <color rgb="FF000000"/>
            <rFont val="Tahoma"/>
            <family val="2"/>
          </rPr>
          <t xml:space="preserve">
</t>
        </r>
      </text>
    </comment>
    <comment ref="Y21" authorId="0" shapeId="0" xr:uid="{4784B2EB-F9E7-4EA8-AAE4-396DAE8959ED}">
      <text>
        <r>
          <rPr>
            <sz val="9"/>
            <color rgb="FF000000"/>
            <rFont val="Tahoma"/>
            <family val="2"/>
          </rPr>
          <t xml:space="preserve">Victor Puerta
</t>
        </r>
        <r>
          <rPr>
            <sz val="9"/>
            <color rgb="FF000000"/>
            <rFont val="Tahoma"/>
            <family val="2"/>
          </rPr>
          <t xml:space="preserve">Angela Guerra
</t>
        </r>
        <r>
          <rPr>
            <sz val="9"/>
            <color rgb="FF000000"/>
            <rFont val="Tahoma"/>
            <family val="2"/>
          </rPr>
          <t xml:space="preserve">Saray 
</t>
        </r>
        <r>
          <rPr>
            <sz val="9"/>
            <color rgb="FF000000"/>
            <rFont val="Tahoma"/>
            <family val="2"/>
          </rPr>
          <t xml:space="preserve">lider cartera
</t>
        </r>
        <r>
          <rPr>
            <sz val="9"/>
            <color rgb="FF000000"/>
            <rFont val="Tahoma"/>
            <family val="2"/>
          </rPr>
          <t xml:space="preserve">Alex florez
</t>
        </r>
        <r>
          <rPr>
            <sz val="9"/>
            <color rgb="FF000000"/>
            <rFont val="Tahoma"/>
            <family val="2"/>
          </rPr>
          <t xml:space="preserve">Elkin Marin
</t>
        </r>
        <r>
          <rPr>
            <sz val="9"/>
            <color rgb="FF000000"/>
            <rFont val="Tahoma"/>
            <family val="2"/>
          </rPr>
          <t xml:space="preserve">Sigma
</t>
        </r>
        <r>
          <rPr>
            <sz val="9"/>
            <color rgb="FF000000"/>
            <rFont val="Tahoma"/>
            <family val="2"/>
          </rPr>
          <t xml:space="preserve">Aseosoria e inversiones
</t>
        </r>
        <r>
          <rPr>
            <sz val="9"/>
            <color rgb="FF000000"/>
            <rFont val="Tahoma"/>
            <family val="2"/>
          </rPr>
          <t xml:space="preserve">Alex arias 
</t>
        </r>
        <r>
          <rPr>
            <sz val="9"/>
            <color rgb="FF000000"/>
            <rFont val="Tahoma"/>
            <family val="2"/>
          </rPr>
          <t xml:space="preserve">Mario Puerta
</t>
        </r>
        <r>
          <rPr>
            <sz val="9"/>
            <color rgb="FF000000"/>
            <rFont val="Tahoma"/>
            <family val="2"/>
          </rPr>
          <t xml:space="preserve">Paula Parra
</t>
        </r>
        <r>
          <rPr>
            <sz val="9"/>
            <color rgb="FF000000"/>
            <rFont val="Tahoma"/>
            <family val="2"/>
          </rPr>
          <t xml:space="preserve">Andra Palacios
</t>
        </r>
        <r>
          <rPr>
            <sz val="9"/>
            <color rgb="FF000000"/>
            <rFont val="Tahoma"/>
            <family val="2"/>
          </rPr>
          <t xml:space="preserve">Pablo Tesorero
</t>
        </r>
        <r>
          <rPr>
            <sz val="9"/>
            <color rgb="FF000000"/>
            <rFont val="Tahoma"/>
            <family val="2"/>
          </rPr>
          <t xml:space="preserve">Laeined
</t>
        </r>
        <r>
          <rPr>
            <sz val="9"/>
            <color rgb="FF000000"/>
            <rFont val="Tahoma"/>
            <family val="2"/>
          </rPr>
          <t xml:space="preserve">Leocaris
</t>
        </r>
        <r>
          <rPr>
            <sz val="9"/>
            <color rgb="FF000000"/>
            <rFont val="Tahoma"/>
            <family val="2"/>
          </rPr>
          <t xml:space="preserve">Ana Gregoria
</t>
        </r>
        <r>
          <rPr>
            <sz val="9"/>
            <color rgb="FF000000"/>
            <rFont val="Tahoma"/>
            <family val="2"/>
          </rPr>
          <t xml:space="preserve">Sandra chica
</t>
        </r>
        <r>
          <rPr>
            <sz val="9"/>
            <color rgb="FF000000"/>
            <rFont val="Tahoma"/>
            <family val="2"/>
          </rPr>
          <t xml:space="preserve">Ana isabel
</t>
        </r>
        <r>
          <rPr>
            <sz val="9"/>
            <color rgb="FF000000"/>
            <rFont val="Tahoma"/>
            <family val="2"/>
          </rPr>
          <t xml:space="preserve">Maria Elena
</t>
        </r>
        <r>
          <rPr>
            <sz val="9"/>
            <color rgb="FF000000"/>
            <rFont val="Tahoma"/>
            <family val="2"/>
          </rPr>
          <t>Famy Financiera</t>
        </r>
      </text>
    </comment>
    <comment ref="J33" authorId="1" shapeId="0" xr:uid="{70AA310D-798C-4AEC-B1ED-27401ADE3FE2}">
      <text>
        <r>
          <rPr>
            <b/>
            <sz val="9"/>
            <color indexed="81"/>
            <rFont val="Tahoma"/>
            <family val="2"/>
          </rPr>
          <t>ESTE INDICADOR ES LA COORDINACIÓN MEDICA.</t>
        </r>
        <r>
          <rPr>
            <sz val="9"/>
            <color indexed="81"/>
            <rFont val="Tahoma"/>
            <family val="2"/>
          </rPr>
          <t xml:space="preserve">
</t>
        </r>
      </text>
    </comment>
    <comment ref="Y40" authorId="0" shapeId="0" xr:uid="{D7E6F7AE-9902-4768-A50A-EEB07D1CF8ED}">
      <text>
        <r>
          <rPr>
            <sz val="9"/>
            <color rgb="FF000000"/>
            <rFont val="Tahoma"/>
            <family val="2"/>
          </rPr>
          <t xml:space="preserve">mantenimientos
</t>
        </r>
        <r>
          <rPr>
            <sz val="9"/>
            <color rgb="FF000000"/>
            <rFont val="Tahoma"/>
            <family val="2"/>
          </rPr>
          <t xml:space="preserve">vigilancia
</t>
        </r>
        <r>
          <rPr>
            <sz val="9"/>
            <color rgb="FF000000"/>
            <rFont val="Tahoma"/>
            <family val="2"/>
          </rPr>
          <t xml:space="preserve">alimentacion
</t>
        </r>
        <r>
          <rPr>
            <sz val="9"/>
            <color rgb="FF000000"/>
            <rFont val="Tahoma"/>
            <family val="2"/>
          </rPr>
          <t xml:space="preserve">aseo
</t>
        </r>
        <r>
          <rPr>
            <sz val="9"/>
            <color rgb="FF000000"/>
            <rFont val="Tahoma"/>
            <family val="2"/>
          </rPr>
          <t xml:space="preserve">famy
</t>
        </r>
        <r>
          <rPr>
            <sz val="9"/>
            <color rgb="FF000000"/>
            <rFont val="Tahoma"/>
            <family val="2"/>
          </rPr>
          <t xml:space="preserve">planta
</t>
        </r>
        <r>
          <rPr>
            <sz val="9"/>
            <color rgb="FF000000"/>
            <rFont val="Tahoma"/>
            <family val="2"/>
          </rPr>
          <t xml:space="preserve">ops
</t>
        </r>
        <r>
          <rPr>
            <sz val="9"/>
            <color rgb="FF000000"/>
            <rFont val="Tahoma"/>
            <family val="2"/>
          </rPr>
          <t xml:space="preserve">farmacia
</t>
        </r>
      </text>
    </comment>
    <comment ref="Y172" authorId="0" shapeId="0" xr:uid="{871A43A4-D4BB-4524-91F7-C9517F24128E}">
      <text>
        <r>
          <rPr>
            <sz val="9"/>
            <color rgb="FF000000"/>
            <rFont val="Tahoma"/>
            <family val="2"/>
          </rPr>
          <t xml:space="preserve">cuotas partes
</t>
        </r>
        <r>
          <rPr>
            <sz val="9"/>
            <color rgb="FF000000"/>
            <rFont val="Tahoma"/>
            <family val="2"/>
          </rPr>
          <t xml:space="preserve">lázaro
</t>
        </r>
        <r>
          <rPr>
            <sz val="9"/>
            <color rgb="FF000000"/>
            <rFont val="Tahoma"/>
            <family val="2"/>
          </rPr>
          <t xml:space="preserve">juan esteban
</t>
        </r>
        <r>
          <rPr>
            <sz val="9"/>
            <color rgb="FF000000"/>
            <rFont val="Tahoma"/>
            <family val="2"/>
          </rPr>
          <t xml:space="preserve">José David
</t>
        </r>
        <r>
          <rPr>
            <sz val="9"/>
            <color rgb="FF000000"/>
            <rFont val="Tahoma"/>
            <family val="2"/>
          </rPr>
          <t xml:space="preserve">Lucy
</t>
        </r>
        <r>
          <rPr>
            <sz val="9"/>
            <color rgb="FF000000"/>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PLANEACION</author>
    <author>RAMON ANTONIO LEMA HUTADO</author>
    <author>Mario Alberto Puerta Valderrama</author>
  </authors>
  <commentList>
    <comment ref="P19" authorId="0" shapeId="0" xr:uid="{F90EA6EC-930C-466B-90D7-947DB976C1C9}">
      <text>
        <r>
          <rPr>
            <b/>
            <sz val="9"/>
            <color indexed="81"/>
            <rFont val="Tahoma"/>
            <family val="2"/>
          </rPr>
          <t>PLANEACION:2LL 25 % SE TRADUCE EN EL 100% DE CUMPLIMIENTO DE CADA TRIMESTRE</t>
        </r>
      </text>
    </comment>
    <comment ref="P22" authorId="0" shapeId="0" xr:uid="{DE3D0117-EFAC-4011-80C3-76676854F675}">
      <text>
        <r>
          <rPr>
            <b/>
            <sz val="9"/>
            <color indexed="81"/>
            <rFont val="Tahoma"/>
            <family val="2"/>
          </rPr>
          <t>PLANEACION:2LL 25 % SE TRADUCE EN EL 100% DE CUMPLIMIENTO DE CADA TRIMESTRE</t>
        </r>
      </text>
    </comment>
    <comment ref="P23" authorId="0" shapeId="0" xr:uid="{4A793574-C1EC-4313-8FDD-34636917D45D}">
      <text>
        <r>
          <rPr>
            <b/>
            <sz val="9"/>
            <color indexed="81"/>
            <rFont val="Tahoma"/>
            <family val="2"/>
          </rPr>
          <t>PLANEACION:2LL 25 % SE TRADUCE EN EL 100% DE CUMPLIMIENTO DE CADA TRIMESTRE</t>
        </r>
      </text>
    </comment>
    <comment ref="P24" authorId="0" shapeId="0" xr:uid="{1635FF81-961D-488A-8C9B-19418AA170BF}">
      <text>
        <r>
          <rPr>
            <b/>
            <sz val="9"/>
            <color indexed="81"/>
            <rFont val="Tahoma"/>
            <family val="2"/>
          </rPr>
          <t>PLANEACION:2LL 25 % SE TRADUCE EN EL 100% DE CUMPLIMIENTO DE CADA TRIMESTRE</t>
        </r>
      </text>
    </comment>
    <comment ref="P25" authorId="0" shapeId="0" xr:uid="{64C52697-3C3A-4171-A858-3DA5A335F3F3}">
      <text>
        <r>
          <rPr>
            <b/>
            <sz val="9"/>
            <color indexed="81"/>
            <rFont val="Tahoma"/>
            <family val="2"/>
          </rPr>
          <t>PLANEACION:2LL 25 % SE TRADUCE EN EL 100% DE CUMPLIMIENTO DE CADA TRIMESTRE</t>
        </r>
      </text>
    </comment>
    <comment ref="P31" authorId="1" shapeId="0" xr:uid="{7F352229-0E7E-4CCD-B79E-CA90E3FD2440}">
      <text>
        <r>
          <rPr>
            <b/>
            <sz val="9"/>
            <color indexed="81"/>
            <rFont val="Tahoma"/>
            <family val="2"/>
          </rPr>
          <t>RAMON ANTONIO LEMA HUTADO:</t>
        </r>
        <r>
          <rPr>
            <sz val="9"/>
            <color indexed="81"/>
            <rFont val="Tahoma"/>
            <family val="2"/>
          </rPr>
          <t xml:space="preserve">
este 25 es el 100% de cada trimestre.</t>
        </r>
      </text>
    </comment>
    <comment ref="P32" authorId="1" shapeId="0" xr:uid="{401E32EF-3F94-4806-B6AD-CA2902703223}">
      <text>
        <r>
          <rPr>
            <b/>
            <sz val="9"/>
            <color indexed="81"/>
            <rFont val="Tahoma"/>
            <family val="2"/>
          </rPr>
          <t>RAMON ANTONIO LEMA HUTADO:</t>
        </r>
        <r>
          <rPr>
            <sz val="9"/>
            <color indexed="81"/>
            <rFont val="Tahoma"/>
            <family val="2"/>
          </rPr>
          <t xml:space="preserve">
este 25 es el 100% de cada trimestre.</t>
        </r>
      </text>
    </comment>
    <comment ref="P33" authorId="1" shapeId="0" xr:uid="{37721357-5A2E-46D4-841E-0E17D372BD1E}">
      <text>
        <r>
          <rPr>
            <b/>
            <sz val="9"/>
            <color indexed="81"/>
            <rFont val="Tahoma"/>
            <family val="2"/>
          </rPr>
          <t>RAMON ANTONIO LEMA HUTADO:</t>
        </r>
        <r>
          <rPr>
            <sz val="9"/>
            <color indexed="81"/>
            <rFont val="Tahoma"/>
            <family val="2"/>
          </rPr>
          <t xml:space="preserve">
este 25 es el 100% de cada trimestre.</t>
        </r>
      </text>
    </comment>
    <comment ref="P34" authorId="1" shapeId="0" xr:uid="{D6BEB29D-9A85-43A8-809A-25BEB2C5FBAA}">
      <text>
        <r>
          <rPr>
            <b/>
            <sz val="9"/>
            <color indexed="81"/>
            <rFont val="Tahoma"/>
            <family val="2"/>
          </rPr>
          <t>RAMON ANTONIO LEMA HUTADO:</t>
        </r>
        <r>
          <rPr>
            <sz val="9"/>
            <color indexed="81"/>
            <rFont val="Tahoma"/>
            <family val="2"/>
          </rPr>
          <t xml:space="preserve">
este 25 es el 100% de cada trimestre.</t>
        </r>
      </text>
    </comment>
    <comment ref="P44" authorId="1" shapeId="0" xr:uid="{267D1FF8-457C-4F33-AD7B-EB446681357D}">
      <text>
        <r>
          <rPr>
            <b/>
            <sz val="9"/>
            <color indexed="81"/>
            <rFont val="Tahoma"/>
            <family val="2"/>
          </rPr>
          <t>RAMON ANTONIO LEMA HUTADO:</t>
        </r>
        <r>
          <rPr>
            <sz val="9"/>
            <color indexed="81"/>
            <rFont val="Tahoma"/>
            <family val="2"/>
          </rPr>
          <t xml:space="preserve">
este 25 es el 100% de los informes establecidos para el trimestre</t>
        </r>
      </text>
    </comment>
    <comment ref="P45" authorId="1" shapeId="0" xr:uid="{86152421-13FD-4545-9F29-EECF57C3A656}">
      <text>
        <r>
          <rPr>
            <b/>
            <sz val="9"/>
            <color indexed="81"/>
            <rFont val="Tahoma"/>
            <family val="2"/>
          </rPr>
          <t>RAMON ANTONIO LEMA HUTADO:</t>
        </r>
        <r>
          <rPr>
            <sz val="9"/>
            <color indexed="81"/>
            <rFont val="Tahoma"/>
            <family val="2"/>
          </rPr>
          <t xml:space="preserve">
este 25 es el 100% de los informes establecidos para el trimestre</t>
        </r>
      </text>
    </comment>
    <comment ref="X46" authorId="2" shapeId="0" xr:uid="{AAED8238-6C52-4DD6-898C-4EE23040422C}">
      <text>
        <r>
          <rPr>
            <b/>
            <sz val="9"/>
            <color indexed="81"/>
            <rFont val="Tahoma"/>
            <family val="2"/>
          </rPr>
          <t>Mario Alberto Puerta Valderrama:</t>
        </r>
        <r>
          <rPr>
            <sz val="9"/>
            <color indexed="81"/>
            <rFont val="Tahoma"/>
            <family val="2"/>
          </rPr>
          <t xml:space="preserve">
FLANKLIN, 
JUAN DAVID LONDOÑO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Mario Alberto Puerta Valderrama</author>
  </authors>
  <commentList>
    <comment ref="V12" authorId="0" shapeId="0" xr:uid="{04882050-BF8D-4220-AEE1-710613EFDA95}">
      <text>
        <r>
          <rPr>
            <b/>
            <sz val="14"/>
            <color indexed="81"/>
            <rFont val="Tahoma"/>
            <family val="2"/>
          </rPr>
          <t>Mario Alberto Puerta Valderrama:1020200-1</t>
        </r>
        <r>
          <rPr>
            <b/>
            <sz val="9"/>
            <color indexed="81"/>
            <rFont val="Tahoma"/>
            <family val="2"/>
          </rPr>
          <t xml:space="preserve">
</t>
        </r>
      </text>
    </comment>
    <comment ref="V32" authorId="0" shapeId="0" xr:uid="{02D52805-2E66-40E8-859E-FBAC120A451F}">
      <text>
        <r>
          <rPr>
            <b/>
            <sz val="14"/>
            <color indexed="81"/>
            <rFont val="Tahoma"/>
            <family val="2"/>
          </rPr>
          <t>Mario Alberto Puerta Valderrama:</t>
        </r>
        <r>
          <rPr>
            <sz val="14"/>
            <color indexed="81"/>
            <rFont val="Tahoma"/>
            <family val="2"/>
          </rPr>
          <t xml:space="preserve">
1020200-4
</t>
        </r>
      </text>
    </comment>
    <comment ref="G52" authorId="0" shapeId="0" xr:uid="{B3FCAE91-9368-4F2F-852D-CA0370452B29}">
      <text>
        <r>
          <rPr>
            <b/>
            <sz val="9"/>
            <color indexed="81"/>
            <rFont val="Tahoma"/>
            <family val="2"/>
          </rPr>
          <t>Mario Alberto Puerta Valderrama:
ENTERRITORIO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Mario Alberto Puerta Valderrama</author>
  </authors>
  <commentList>
    <comment ref="S27" authorId="0" shapeId="0" xr:uid="{99B761DF-A8BB-4692-9CD2-768B5A146696}">
      <text>
        <r>
          <rPr>
            <b/>
            <sz val="9"/>
            <color indexed="81"/>
            <rFont val="Tahoma"/>
            <family val="2"/>
          </rPr>
          <t>Mario Alberto Puerta Valderrama:</t>
        </r>
        <r>
          <rPr>
            <sz val="9"/>
            <color indexed="81"/>
            <rFont val="Tahoma"/>
            <family val="2"/>
          </rPr>
          <t xml:space="preserve">
</t>
        </r>
        <r>
          <rPr>
            <sz val="16"/>
            <color indexed="81"/>
            <rFont val="Tahoma"/>
            <family val="2"/>
          </rPr>
          <t>DINAMICA</t>
        </r>
      </text>
    </comment>
    <comment ref="S29" authorId="0" shapeId="0" xr:uid="{F6B991B0-A412-4275-B328-6542F385EE83}">
      <text>
        <r>
          <rPr>
            <b/>
            <sz val="9"/>
            <color indexed="81"/>
            <rFont val="Tahoma"/>
            <family val="2"/>
          </rPr>
          <t>Mario Alberto Puerta Valderrama:</t>
        </r>
        <r>
          <rPr>
            <sz val="9"/>
            <color indexed="81"/>
            <rFont val="Tahoma"/>
            <family val="2"/>
          </rPr>
          <t xml:space="preserve">
</t>
        </r>
        <r>
          <rPr>
            <sz val="16"/>
            <color indexed="81"/>
            <rFont val="Tahoma"/>
            <family val="2"/>
          </rPr>
          <t>ADVISING</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5578556-7880-4DF4-B561-79052D8DBF6A}" sourceFile="C:\Users\PLANEACION\Desktop\PLANEACION\PLANEACIÓN 2021\POAI 2021\SEGUIMIENTO POAI 2021\SEGUIMIENTO POAI ESE HOSPITAL LA MARÍA 2021juan-  (1).xlsx" keepAlive="1" name="SEGUIMIENTO POAI ESE HOSPITAL LA MARÍA 2021juan-  (1)" type="5" refreshedVersion="7" background="1">
    <dbPr connection="Provider=Microsoft.ACE.OLEDB.12.0;User ID=Admin;Data Source=C:\Users\PLANEACION\Desktop\PLANEACION\PLANEACIÓN 2021\POAI 2021\SEGUIMIENTO POAI 2021\SEGUIMIENTO POAI ESE HOSPITAL LA MARÍA 2021juan-  (1).xlsx;Mode=Share Deny Write;Extended Properties=&quot;HDR=YES;&quot;;Jet OLEDB:System database=&quot;&quot;;Jet OLEDB:Registry Path=&quot;&quot;;Jet OLEDB:Engine Type=35;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RESUMEN LINEAS-POAI$'" commandType="3"/>
  </connection>
</connections>
</file>

<file path=xl/sharedStrings.xml><?xml version="1.0" encoding="utf-8"?>
<sst xmlns="http://schemas.openxmlformats.org/spreadsheetml/2006/main" count="3945" uniqueCount="949">
  <si>
    <t>ESE HOSPITAL LA MARIA</t>
  </si>
  <si>
    <t xml:space="preserve">Descripción de la Actividad </t>
  </si>
  <si>
    <t>Unidad de Medida</t>
  </si>
  <si>
    <t>Trimestre 1</t>
  </si>
  <si>
    <t>Trimestre 2</t>
  </si>
  <si>
    <t>Trimestre 3</t>
  </si>
  <si>
    <t>Trimestre 4</t>
  </si>
  <si>
    <t>RECURSOS</t>
  </si>
  <si>
    <t>Área Responsable</t>
  </si>
  <si>
    <t>Responsable</t>
  </si>
  <si>
    <t>Proyecto</t>
  </si>
  <si>
    <t>Nombre del Indicador</t>
  </si>
  <si>
    <t>Línea de Base</t>
  </si>
  <si>
    <t>Rubro Presupuestal</t>
  </si>
  <si>
    <t>Fuente</t>
  </si>
  <si>
    <t>Recursos Asignados</t>
  </si>
  <si>
    <t>Total</t>
  </si>
  <si>
    <t>Numero</t>
  </si>
  <si>
    <t>Porcentaje</t>
  </si>
  <si>
    <t>numero</t>
  </si>
  <si>
    <t>1010200-4</t>
  </si>
  <si>
    <t>CALIDAD</t>
  </si>
  <si>
    <t>FINANCIERA</t>
  </si>
  <si>
    <t>1010200-1</t>
  </si>
  <si>
    <t>SUBGERENCIA</t>
  </si>
  <si>
    <t>GERENCIA</t>
  </si>
  <si>
    <t>8002100-7</t>
  </si>
  <si>
    <t>2010100-1</t>
  </si>
  <si>
    <t>PLANEACIÓN</t>
  </si>
  <si>
    <t>&gt;</t>
  </si>
  <si>
    <t>Alerta</t>
  </si>
  <si>
    <t>Atención</t>
  </si>
  <si>
    <t>Normal</t>
  </si>
  <si>
    <t>Superior</t>
  </si>
  <si>
    <t>CRITERIOS DE EVALUACIÓN DE CUMPLIMIENTO EJECUCIÓN FÍSICA  Y FINANCIERA DEL POAI</t>
  </si>
  <si>
    <t>&lt; 25%</t>
  </si>
  <si>
    <t>26%- 5O%</t>
  </si>
  <si>
    <t>51% - 75%</t>
  </si>
  <si>
    <t>76% - 100%</t>
  </si>
  <si>
    <t>Criticó</t>
  </si>
  <si>
    <t>Linea  Estratégica</t>
  </si>
  <si>
    <t>Programa</t>
  </si>
  <si>
    <t>Componente</t>
  </si>
  <si>
    <t>Objetivo</t>
  </si>
  <si>
    <t xml:space="preserve">Codigo </t>
  </si>
  <si>
    <t>INDICADOR DE RESULTADO</t>
  </si>
  <si>
    <t>Nombre del Indicador Producto</t>
  </si>
  <si>
    <t>Meta de la Vigencia 2021</t>
  </si>
  <si>
    <t>Cantidad Programada Año 2021</t>
  </si>
  <si>
    <t>Línea 1: Dirección estratégica para una gestión con responsabilidad</t>
  </si>
  <si>
    <t>Definir e implementar acciones que permitan el direccionamiento institucional de la
E.S.E hacia la renovación de la infraestructura y la tecnología, el rediseño de la estructura
organizacional, la cultura en sistemas de gestión de la calidad y el fortalecimiento contractual, en
cumplimiento de nuestro objeto social, centrado en la seguridad del paciente y la satisfacción del
usuario y su familia.</t>
  </si>
  <si>
    <t>N/D</t>
  </si>
  <si>
    <t>Unidad de medida</t>
  </si>
  <si>
    <t>Porcentajes</t>
  </si>
  <si>
    <t>Modernización Institucional</t>
  </si>
  <si>
    <t>Manual de funciones adoptado</t>
  </si>
  <si>
    <t>Estructura organizacional adoptado</t>
  </si>
  <si>
    <t>Análisis de mercado para unidades de negocio</t>
  </si>
  <si>
    <t>Unidades funcionales con
estudios multifactoriales de
mercado</t>
  </si>
  <si>
    <t>Modernización de la estructura organizacional aprobada</t>
  </si>
  <si>
    <t>Personal en misión ajustados a los perfiles y competencias definidos</t>
  </si>
  <si>
    <t>Rediseño Organizacional</t>
  </si>
  <si>
    <t>Rediseñar el modelo de la gestión organizacional de la Institución de acuerdo a las necesidades y requerimientos cambiantes del entorno</t>
  </si>
  <si>
    <t xml:space="preserve">Razon </t>
  </si>
  <si>
    <t>Procesos Socializados</t>
  </si>
  <si>
    <t>Procesos Implementados</t>
  </si>
  <si>
    <t>Acciones de mejora ejecutadas derivada de las auditorías realizadas</t>
  </si>
  <si>
    <t>Formulación de la política de
administración del riesgo</t>
  </si>
  <si>
    <t>Numeo</t>
  </si>
  <si>
    <t>lograr el cumplimiento de las metas trazadas en el Plan de Desarrollo Institucional</t>
  </si>
  <si>
    <t>Cumplimiento del Plan de Desarrollo Ins􀆟tucional</t>
  </si>
  <si>
    <t>Ejecución estratégica</t>
  </si>
  <si>
    <t>Actividades de socialización del Plan
de Desarrollo</t>
  </si>
  <si>
    <t>Seguimiento a las metas de Plan de
Desarrollo</t>
  </si>
  <si>
    <t>Línea 2: Gestión financiera y administrativa para el desarrollo sostenible</t>
  </si>
  <si>
    <t>Gestionar el equilibrio y la sostenibilidad financiera, mediante el análisis permanente del comportamiento administrativo, contable y financiero, que provea la información necesaria para la toma de decisiones.</t>
  </si>
  <si>
    <t>Garantizar la financiera y rentabilidad social de la E.S.E, mediante la optimización de los recursos humanos, físicos, tecnológicos y financieros, y la evaluación permanente del riesgo fiscal y financiero, que faciliten el buen funcionamiento de los procesos organizacionales</t>
  </si>
  <si>
    <t>Aumento del margen EBITDA</t>
  </si>
  <si>
    <t>Riesgo fiscal y financiero</t>
  </si>
  <si>
    <t>Evolución del gasto por unidad
de valor relati_x001F_vo producida</t>
  </si>
  <si>
    <t xml:space="preserve">Deuda menor a 30 días por
concepto de salarios a
personal </t>
  </si>
  <si>
    <t>Equilibrio  presupuestal con
recaudo</t>
  </si>
  <si>
    <t xml:space="preserve">Razón </t>
  </si>
  <si>
    <t>Ciclo financiero eficiente y responsable</t>
  </si>
  <si>
    <t>Radicación oportuna de facturas</t>
  </si>
  <si>
    <t>Rotación de cartera en número de días posterior al reconocimiento de
la deuda.</t>
  </si>
  <si>
    <t>Días</t>
  </si>
  <si>
    <t>Respuesta oportuna de glosa
inicial de servicios</t>
  </si>
  <si>
    <t>Variación de la facturación semestral</t>
  </si>
  <si>
    <t>Recaudo por venta de servicios.</t>
  </si>
  <si>
    <t>Glosas definitivas</t>
  </si>
  <si>
    <t>Gestión de glosas definitivas</t>
  </si>
  <si>
    <t>Proceso de auditoria concurrente.</t>
  </si>
  <si>
    <t>Despliegue estratégico del Plan de Desarrollo a los funcionarios de la E.S.E.</t>
  </si>
  <si>
    <t>Seguimientos, análisis y evaluación del Plan de desarrollo</t>
  </si>
  <si>
    <t>Facturación como inicio de la sostenibilidad</t>
  </si>
  <si>
    <t>Cartera como soporte financiero</t>
  </si>
  <si>
    <t>Glosas y devoluciones para la eficiencia</t>
  </si>
  <si>
    <t>Auditoria concurrente por la calidad</t>
  </si>
  <si>
    <t>Costeo en los procesos para la toma de decisiones</t>
  </si>
  <si>
    <t>Modelo de costos empresarial TDABC</t>
  </si>
  <si>
    <t>Costear productos ofertados en la
institución</t>
  </si>
  <si>
    <t>Gestión de cuentas y proveedores</t>
  </si>
  <si>
    <t>Contratación basada en análisis de costos</t>
  </si>
  <si>
    <t>Gestión para el equilibrio presupuestal y pagos.</t>
  </si>
  <si>
    <t>Equilibrio presupuestal con
reconocimiento</t>
  </si>
  <si>
    <t>equilibrio presupuestal con
reconocimiento (Sin CXC y CXP)</t>
  </si>
  <si>
    <t>Ejecución presupuestal</t>
  </si>
  <si>
    <t>Razón</t>
  </si>
  <si>
    <t>Control efectivo en el manejo de los recursos</t>
  </si>
  <si>
    <t>Responsabilidad empresarial presupuestal</t>
  </si>
  <si>
    <t>Auditoria de pagos para transparencia.</t>
  </si>
  <si>
    <t>Información contable, confiable y segura para la toma de decisiones</t>
  </si>
  <si>
    <t xml:space="preserve">Proporción de medicamentos y
material médico quirúrgico
adquiridos mediante compras
conjuntas, coopera_x001F_vas de
empresas sociales del
estado y/o de mecanismos
electrónicos </t>
  </si>
  <si>
    <t>Cumplimiento del plan anual de
adquisiciones.</t>
  </si>
  <si>
    <t>Fortalecimiento administrativo de la E.S.E.</t>
  </si>
  <si>
    <t>Plan del mantenimiento hospitalario integral aprobado</t>
  </si>
  <si>
    <t>Actualización del manual de
contratación</t>
  </si>
  <si>
    <t>Cumplimiento de los planes de
mejoramiento.</t>
  </si>
  <si>
    <t>Contratación y ordenes de
compras, evaluadas por
comité de contratación.</t>
  </si>
  <si>
    <t>Tecnologías optimas y seguras para el buen funcionamiento de la E.S.E.</t>
  </si>
  <si>
    <t>Ejecución de los planes de mantenimiento para un buen funcionamiento de la E.S.E
Hospital La María.</t>
  </si>
  <si>
    <t>Fortalecimiento de la Farmacia para una atención digna y con calidad para nuestros usuarios</t>
  </si>
  <si>
    <t>Mantener las compra de
medicamentos y material médico
quirúrgico a través de plataformas</t>
  </si>
  <si>
    <t>Compra de insumos médicos y material médico quirúrgico por plataformas electrónicas y
otros medios.</t>
  </si>
  <si>
    <t>Fortalecimiento del cumplimiento de los reportes a los diferentes entes de control</t>
  </si>
  <si>
    <t>Oportunidad en el reporte de los
informes obligatorios a la
Supersalud</t>
  </si>
  <si>
    <t>Oportunidad en el reporte de los
informes obligatorios en la Resolución 2193  de 2004</t>
  </si>
  <si>
    <t>Información oportuna y veraz para los reportes de los entes de control.</t>
  </si>
  <si>
    <t>Proyectos estratégicos de la E.S.E.</t>
  </si>
  <si>
    <t>Seguimiento a la ejecución de los
recursos de los proyectos
aprobados.</t>
  </si>
  <si>
    <t>Seguimiento a la ejecución de proyectos aprobados.</t>
  </si>
  <si>
    <t>Línea 3: Gestión asistencial humanizada y equitativa</t>
  </si>
  <si>
    <t xml:space="preserve">prestar servicios de salud de alta y mediana complejidad; mediante una atención segura, humanizada y con calidad, a través de una gestión transparente y adecuada de los recursos; enfocándose en el mejoramiento continuo, la satisfacción del usuario, la familia y la comunidad </t>
  </si>
  <si>
    <t>Orientar la prestación de servicios de salud para el manejo de las patologías de gran impacto
en el departamento de Antioquía a través del fortalecimiento y la creación de nuevos servicios;
aumentando la eficiencia, eficacia y satisfacción; gestionando las necesidades del usuario</t>
  </si>
  <si>
    <t>Servicios nuevos
habilitados</t>
  </si>
  <si>
    <t>Proporción de Adopción y
socialización de las principales Guías de manejo médico</t>
  </si>
  <si>
    <t>Apertura de servicios de alta complejidad en respuesta a las necesidades de la comunidad
y a los hallazgos más representativos del perfil epidemiológico actual</t>
  </si>
  <si>
    <t>Servicio de hemofilia habilitando y
funcionando</t>
  </si>
  <si>
    <t>Servicio de hemodiálisis
habilitado y funcionando</t>
  </si>
  <si>
    <t>Servicio de cirugía oncológica
habilitado y funcionando</t>
  </si>
  <si>
    <t>Servicio de reumatología
habilitado y funcionando</t>
  </si>
  <si>
    <t>Fortalecer los servicios ofertados y habilitados</t>
  </si>
  <si>
    <t>Fortalecimiento de los servicios existentes a través de la implementación de acciones
encaminadas al mejoramiento de la atención</t>
  </si>
  <si>
    <t>Evaluación de aplicación de
guía de manejode la primera
causa de egreso hospitalario o de
morbilidad atendida</t>
  </si>
  <si>
    <t>Tiempo promedio de espera para la
asignación de citas de medicina
interna</t>
  </si>
  <si>
    <t>Tiempo promedio de espera para la
asignación de citas de cirugía</t>
  </si>
  <si>
    <t>Tiempo promedio de espera para la
asignación de citas de Urología</t>
  </si>
  <si>
    <t>Tiempo promedio de espera para la
asignación de citas de ortopedia</t>
  </si>
  <si>
    <t>Tiempo promedio de espera para la
atención del paciente clasificado como Triage II</t>
  </si>
  <si>
    <t>Minutos</t>
  </si>
  <si>
    <t>Oportunidad en la entrega de
resultados de laboratorio al
Servicio de Urgencias</t>
  </si>
  <si>
    <t>Oportunidad en la entrega de
resultados a Hospitalización</t>
  </si>
  <si>
    <t>Oportunidad en la realización de
apendicetomía</t>
  </si>
  <si>
    <t>Análisis de Mortalidad Intrahospitalaria</t>
  </si>
  <si>
    <t>Índice de infecciones intrahospitalarias</t>
  </si>
  <si>
    <t>Poner en marcha los planes de mejoramiento para el impacto en la oportunidad en la
atención y en la seguridad del paciente</t>
  </si>
  <si>
    <t>Desarrollo de convenios para la búsqueda activa comunitaria de pacientes con VIH en poblaciones
clave entre E.S.E Hospital La María y Enterritorio</t>
  </si>
  <si>
    <t>Pruebas rápidas de VIH realizadas a la población objeto</t>
  </si>
  <si>
    <t>Realizar convenios entre la E.S.E Hospital La María y Enterritorio para desarrollar actividades
en la población VIH en poblaciones clave</t>
  </si>
  <si>
    <t>Ser el centro de referencia para los servicios de alta complejidad del departamento de
Antioquía para los Hospitales de mediana y baja complejidad</t>
  </si>
  <si>
    <t>Aumento en el
numero de
pacientes referidos
por la red.</t>
  </si>
  <si>
    <t>Aumento en el accesibilidad a los
servicios de consulta externa
por la apertura de servicios en
modalidad telesalud</t>
  </si>
  <si>
    <t xml:space="preserve">Tiempos de respuesta en los
procesos de referencia. </t>
  </si>
  <si>
    <t xml:space="preserve">Días </t>
  </si>
  <si>
    <t>Fortalecer la gestión administrativa desde los niveles directivo técnico y operativo, en los procesos de defensa jurídica, contratación, apoyo a la gestión, compras y suministros, activos fijos, con eficiencia, eficacia y transparencia, garantizando resultados óptimos y como unidad funcional transversal hacia el resto de áreas de la organización.</t>
  </si>
  <si>
    <t>Implementación telesalud</t>
  </si>
  <si>
    <t>Conformación de Redes - Acuerdos de voluntades</t>
  </si>
  <si>
    <t xml:space="preserve">Atención intercultural </t>
  </si>
  <si>
    <t>Disminuir los tiempos de respuesta en los procesos de referencia y mejorar la percepción de la oportunidad, convirtiéndonos en el faro que ilumine las demás E.S.E del departamento</t>
  </si>
  <si>
    <t>Acuerdo de voluntades entre las ESE para la conformación de la red en el Departamento de Antioquia</t>
  </si>
  <si>
    <t>Servicios de telesalud implementados y en funcionamiento en la ESE</t>
  </si>
  <si>
    <t>Realizar el análisis de mercado para el ingreso de la E.S.E al Sistema Indígena de Salud Propio Intercultural (SISPI)</t>
  </si>
  <si>
    <t xml:space="preserve">Mejoramiento en la percepción de la respuesta a los procesos de remisión con las IPS de influencia </t>
  </si>
  <si>
    <t xml:space="preserve">Mejorar la oportunidad en los tiempos de respuesta en los procesos de referencia para la atención en la E.S.E  
</t>
  </si>
  <si>
    <t>Análisis del mercado para la atención intercultural</t>
  </si>
  <si>
    <t xml:space="preserve">implementar el servicio de telesalud en la ESE Hospital La María.
</t>
  </si>
  <si>
    <t>Formulación de acuerdos de voluntades con las ESE y EAPB en el Departamento.</t>
  </si>
  <si>
    <t xml:space="preserve">Modelo de atención aprobado </t>
  </si>
  <si>
    <t xml:space="preserve">Enfocar el proceso de atención de la E.S.E en el trato digno de las personas, con altos estándares de calidad y valor científico.
</t>
  </si>
  <si>
    <t>Realizar la atención integral basada en la satisfacción global y el trato digno en la ESE Hospital La María</t>
  </si>
  <si>
    <t xml:space="preserve"> Formular e implementar el modelo de Atención en salud en la ESE Hospital la María.</t>
  </si>
  <si>
    <t xml:space="preserve"> Formulación del modelo de atención</t>
  </si>
  <si>
    <t>Elabora el modelo de prestación de servicios de la ESE Hospital La María</t>
  </si>
  <si>
    <t>Velar por la protección del patrimonio documental de la entidad</t>
  </si>
  <si>
    <t>Digitalización de la información institucional</t>
  </si>
  <si>
    <t>Sistemas Gestión Documental</t>
  </si>
  <si>
    <t>Plan de digitalización de documentos Implementado</t>
  </si>
  <si>
    <t>Sistematización de Flujo de Trabajos</t>
  </si>
  <si>
    <t>Manuales, Procesos y Procedimientos Archivísticos Implementados</t>
  </si>
  <si>
    <t>Infraestructura para el archivo</t>
  </si>
  <si>
    <t>Sistema de general de archivo</t>
  </si>
  <si>
    <t xml:space="preserve"> Componente 1:  Modelo de atención integral centrado en el trato digno</t>
  </si>
  <si>
    <r>
      <t>Componente 2: Memoria institucional</t>
    </r>
    <r>
      <rPr>
        <b/>
        <sz val="12"/>
        <color rgb="FF000000"/>
        <rFont val="Arial"/>
        <family val="2"/>
      </rPr>
      <t>.</t>
    </r>
  </si>
  <si>
    <r>
      <t xml:space="preserve">Componente 3: </t>
    </r>
    <r>
      <rPr>
        <sz val="12"/>
        <color theme="1"/>
        <rFont val="Arial"/>
        <family val="2"/>
      </rPr>
      <t>Tecnología biomédica segura para la vida</t>
    </r>
  </si>
  <si>
    <t>Satisfacer las necesidades de los servicios asistenciales mediante una oportuno y eficiente mantenimiento en equipos biomédicos con personal especializado que aporte a los protocolos de bioseguridad</t>
  </si>
  <si>
    <t>Índice de satisfacción del cliente interno frente a la dotación de equipos biomédicos</t>
  </si>
  <si>
    <t>Índice de eventos adversos atribuibles a tecnología medica</t>
  </si>
  <si>
    <t>Diagnóstico de necesidades de tecnología y de equipos biomédicos</t>
  </si>
  <si>
    <t>Apoyar las áreas asistenciales a brindar los servicios de salud con seguridad y confianza</t>
  </si>
  <si>
    <t>Adquisición de equipos biomédicos</t>
  </si>
  <si>
    <t>Cumplimiento de cronograma de mantenimiento de equipos biomédicos</t>
  </si>
  <si>
    <t>Oportunidad de mantenimiento correctivo</t>
  </si>
  <si>
    <t xml:space="preserve">Cumplimiento de cronograma de calibración de equipos biomédicos.  (miden, cuentan y pesan) </t>
  </si>
  <si>
    <t>Adquisición de equipos biomédicos de última tecnología</t>
  </si>
  <si>
    <t>Realizar el mantenimiento preventivo y correctivo de los equipos biomédicos e industriales</t>
  </si>
  <si>
    <t xml:space="preserve">Realizar la calibración de los equipos biomédicos.
</t>
  </si>
  <si>
    <t xml:space="preserve">Componente 4: Tecnología segura para el desarrollo de la ESE 
</t>
  </si>
  <si>
    <t>Proporcionar una sistema ágil, seguro y oportuno que satisfaga las necesidades del cliente interno y externo, cumpliendo con las buenas prácticas en el área de las TIC.</t>
  </si>
  <si>
    <t>Índice de satisfacción del cliente interno con relación a las plataformas y herramientas digitales</t>
  </si>
  <si>
    <t>Índice de satisfacción del cliente externo en relación a la experiencia digital corporativa</t>
  </si>
  <si>
    <t>Recursos tecnológicos para el apoyo en la gestión</t>
  </si>
  <si>
    <t>Implementación de la política de gobierno digital</t>
  </si>
  <si>
    <t>Software para el sistema de inducción ESE Hospital La María</t>
  </si>
  <si>
    <t>Plataforma de inducción y gestión del conocimiento en funcionamiento</t>
  </si>
  <si>
    <t>Herramientas digitales en funcionamiento (ofimática, licencias y office)</t>
  </si>
  <si>
    <t xml:space="preserve">DATACENTER con
Dotación Tecnológica </t>
  </si>
  <si>
    <t>Plan de mantenimientos</t>
  </si>
  <si>
    <t>Recursos tecnológicos como líneas de apoyo para la prestación de servicio con calidad</t>
  </si>
  <si>
    <t>Componente 1:Institución solida</t>
  </si>
  <si>
    <t>Componente 3: Seguimiento estratégico para la toma de decisiones</t>
  </si>
  <si>
    <t>Componente 1:Equilibrio y sostenibilidad con rentabilidad social y financiera</t>
  </si>
  <si>
    <t>Componente 2: Administración con calidad, transparencia y eficiencia para todos</t>
  </si>
  <si>
    <t>Componente 1: Hospital Líder en la atención de las patologías con mayor impacto en la salud pública,
comprometidos con la excelencia en la atención</t>
  </si>
  <si>
    <t>Componente 2 :Integración y alianzas para el mejoramiento en la accesibilidad y en la oportunidad en los
servicios.
Diagnostico:</t>
  </si>
  <si>
    <t xml:space="preserve">Índice de variación de la percepción positiva de la imagen y marca de la ESE Hospital La María </t>
  </si>
  <si>
    <t>Realizar campañas Edu-Comunicativas con un enfoque diferencial, logrando incrementar la percepción y la inclusión social de nuestra institución</t>
  </si>
  <si>
    <t>Implementación de medios de comunicación que permitan la inclusión de la población vulnerable</t>
  </si>
  <si>
    <t>Desarrollo de un canal de comunicación interna que permita la interacción inmediata de los colaboradores de la E.S.E</t>
  </si>
  <si>
    <t xml:space="preserve">Plan de marketing digital elaborado y aprobado </t>
  </si>
  <si>
    <t>Análisis de canales de distribución para los segmentos de clientes específicos.</t>
  </si>
  <si>
    <t>Humanización y dignificación del servicio que se presta a los usuarios y pacientes</t>
  </si>
  <si>
    <t>Comunicación asertiva</t>
  </si>
  <si>
    <t xml:space="preserve">Enfoque diferenciador como un hospital en funcionamiento al bienestar de la población vulnerable de Antioquia (Discapacidad visual y auditiva)
</t>
  </si>
  <si>
    <t>Implementar estrategias de acompañamiento para la formación en la comunicación a personas con discapacidad.</t>
  </si>
  <si>
    <t>Ser incluyentes en temas de participación, acceso a la salud y trato digno.</t>
  </si>
  <si>
    <t>Componente 2: Atención y cuidado al usuario</t>
  </si>
  <si>
    <t>Fortalecer las relaciones de confianza entre el usuario, ciudadanía y el Hospital La María.</t>
  </si>
  <si>
    <t>Satisfacción del Usuario Externo</t>
  </si>
  <si>
    <t>Respuesta oportuna de las PQRSD de los usuarios</t>
  </si>
  <si>
    <t>Intervención social en el acceso a la salud</t>
  </si>
  <si>
    <t>Ejecución del Plan de la Política de Participación</t>
  </si>
  <si>
    <t>Aseguramiento</t>
  </si>
  <si>
    <t>Certificación, notificación, ayudas humanitarias, programas interinstitucionales, redes de apoyos, restablecimiento del derecho</t>
  </si>
  <si>
    <t>Control social a la salud</t>
  </si>
  <si>
    <t xml:space="preserve">Gestión y respuesta de PQRSD </t>
  </si>
  <si>
    <t xml:space="preserve">PQRSD </t>
  </si>
  <si>
    <t>Rendición de Cuentas</t>
  </si>
  <si>
    <t xml:space="preserve">Acompañamiento a La Comunidad </t>
  </si>
  <si>
    <t>Direccionamiento a Los Usuarios Frente a Temas De Salud</t>
  </si>
  <si>
    <t xml:space="preserve">Encuestas de satisfacción de usuarios.
</t>
  </si>
  <si>
    <t xml:space="preserve">Línea 6: Innovación, ciencia e investigación para la vida
</t>
  </si>
  <si>
    <t>Establecer los problemas en salud pública y contribuir con respuestas y medidas de intervención pertinente y costo efectivas de prevención de la enfermedad, promoción de la salud y control; con énfasis en nuestra población vulnerable.</t>
  </si>
  <si>
    <t>Componente 1: Investigación con sentido de vida y responsabilidad social</t>
  </si>
  <si>
    <t>Generar conocimiento en salud colectiva e individual, promoviendo el aprendizaje auto regulado y la actualización permanente con énfasis en la conducta ética, el profesionalismo y el compromiso con la sociedad.</t>
  </si>
  <si>
    <t>Publicaciones realizadas en diferentes medios</t>
  </si>
  <si>
    <t xml:space="preserve">Suscripción de Convenios de Cooperación para la investigación </t>
  </si>
  <si>
    <t>Investigación para ciencias médicas y salud</t>
  </si>
  <si>
    <t xml:space="preserve">Publicación de artículos en revistas indexadas </t>
  </si>
  <si>
    <t xml:space="preserve">Numero </t>
  </si>
  <si>
    <t>Publicaciones medicas en revistas indexadas</t>
  </si>
  <si>
    <t xml:space="preserve">Crear un modelo de hospital universitario que permita el fortalecimiento de los procesos institucionales, la adopción de altos estándares de calidad, el avance en la relación docencia servicio, los espacios disponibles y el aumento en la generación de conocimiento especializado, que aporte a los actores responsables de la toma de decisiones y generadores de políticas públicas.  </t>
  </si>
  <si>
    <t xml:space="preserve">Avances en el proceso de acreditación </t>
  </si>
  <si>
    <t xml:space="preserve">Desarrollo de la relación docencia servicio </t>
  </si>
  <si>
    <t>Aumentar el resultado de la autoevaluación en los estándares de acreditación</t>
  </si>
  <si>
    <t xml:space="preserve">Ejecutar las oportunidades de mejora en cada ciclo </t>
  </si>
  <si>
    <t>Planear y ejecutar el proceso de acreditación en salud, con el objetivo de lograr la acreditación como hospital universitario</t>
  </si>
  <si>
    <r>
      <t xml:space="preserve">Componente 1: </t>
    </r>
    <r>
      <rPr>
        <b/>
        <sz val="12"/>
        <color rgb="FFFF0000"/>
        <rFont val="Arial"/>
        <family val="2"/>
      </rPr>
      <t xml:space="preserve"> </t>
    </r>
    <r>
      <rPr>
        <sz val="12"/>
        <color rgb="FF000000"/>
        <rFont val="Arial"/>
        <family val="2"/>
      </rPr>
      <t>Alineación ecológica con responsabilidad social</t>
    </r>
    <r>
      <rPr>
        <b/>
        <sz val="12"/>
        <color rgb="FFFF0000"/>
        <rFont val="Arial"/>
        <family val="2"/>
      </rPr>
      <t xml:space="preserve"> </t>
    </r>
  </si>
  <si>
    <t xml:space="preserve">Definir el proceso de gestión ambiental y articularlo con las diferentes áreas de la institución, a través, de mecanismos y estrategias que permitan el desarrollo de los procesos medio ambientales y la normatividad legal vigente.
</t>
  </si>
  <si>
    <t>Formular el Plan de Gestión Ambiental</t>
  </si>
  <si>
    <t>Actualización del Plan de Gestión de Residuos Generados en la atención de servicios de Salud y otras actividades PGIRASA</t>
  </si>
  <si>
    <t>Formular el PLAN – Movilidad Empresaria Sostenible (MES)</t>
  </si>
  <si>
    <t xml:space="preserve">Plan de Mantenimiento ambiental y del componente arbóreo </t>
  </si>
  <si>
    <t>Actualización del PGIRASA</t>
  </si>
  <si>
    <t>Aguas residuales</t>
  </si>
  <si>
    <t>Plan MES-Movilidad Empresarial Sostenible</t>
  </si>
  <si>
    <t>12.8.	Línea 8: Gestión integral del talento humano que trabaja con amor por la vida</t>
  </si>
  <si>
    <t>Proveer el personal a los servicios formado y entrenado en los componentes técnicos generales del Hospital y específicos del área o servicio para donde fue asignado, mediante el fortalecimiento de los procesos de inducción y reinducción del personal, general y del cargo</t>
  </si>
  <si>
    <r>
      <t xml:space="preserve">Componente 2: </t>
    </r>
    <r>
      <rPr>
        <sz val="12"/>
        <color theme="1"/>
        <rFont val="Arial"/>
        <family val="2"/>
      </rPr>
      <t>Desarrollo del talento humano</t>
    </r>
  </si>
  <si>
    <t xml:space="preserve">Mejoramiento de la productividad y la satisfacción del empleado con su trabajo y con la Institución a través de la capacitación, el bienestar, los incentivos, la seguridad y salud en el trabajo 
</t>
  </si>
  <si>
    <t>Componente: 3 Retiro del talento humano</t>
  </si>
  <si>
    <t>Implementar estrategias que permitan la retención y conservación del conocimiento, la fidelización del personal de apoyo misional y administrativo, y el retiro digno del personal jubilado</t>
  </si>
  <si>
    <t>Formación y educación técnica para el talento humano que trabaja con amor por la vida</t>
  </si>
  <si>
    <t xml:space="preserve">Conocimiento logrado con la inducción </t>
  </si>
  <si>
    <t xml:space="preserve">Conocimiento logrado con la reinducción </t>
  </si>
  <si>
    <t>Cobertura de inducción</t>
  </si>
  <si>
    <t>Cobertura de Reinducción</t>
  </si>
  <si>
    <t>Plan de formación y capacitación</t>
  </si>
  <si>
    <t>Inducción, Reinducción y evaluación de desempeño</t>
  </si>
  <si>
    <t>Índice de satisfacción en el clima laboral</t>
  </si>
  <si>
    <t>Mejoramiento de la productividad y la satisfacción del empleado</t>
  </si>
  <si>
    <t>Sistema de gestión de seguridad y salud en el trabajo implementado en cada una de las áreas de la ESE</t>
  </si>
  <si>
    <t>Aplicación del instrumento de medición del clima laboral</t>
  </si>
  <si>
    <t>Cumplimiento del desarrollo del plan de bienestar laboral.</t>
  </si>
  <si>
    <t>Cumplimiento al plan anual de capacitaciones</t>
  </si>
  <si>
    <t>Cumplimiento con Plan anual de vacantes</t>
  </si>
  <si>
    <t>Cumplimiento con el Plan estratégico de talento humano</t>
  </si>
  <si>
    <t>Cumplimiento con el Plan de bienestar Social</t>
  </si>
  <si>
    <t>Cumplimiento con el Plan de estímulos e incentivos</t>
  </si>
  <si>
    <t>Cumplimiento con el Plan de evaluación del desempeño</t>
  </si>
  <si>
    <t>Implementación Sistema de gestión de seguridad y salud en el trabajo</t>
  </si>
  <si>
    <t>Actualización y seguimiento de los Planes Institucionales</t>
  </si>
  <si>
    <t>Medición del clima Laboral</t>
  </si>
  <si>
    <t xml:space="preserve">Variación de la deserción del personal de apoyo administrativo y misional </t>
  </si>
  <si>
    <t xml:space="preserve">Satisfacción del empleado jubilado y su familia  </t>
  </si>
  <si>
    <t>Fidelización del personal de apoyo misional y administrativo</t>
  </si>
  <si>
    <t>Cumplimiento en las actividades de capacitación prejubilables</t>
  </si>
  <si>
    <t>Índice de rotación del personal administrativo y misional</t>
  </si>
  <si>
    <t xml:space="preserve">Formulación de la Política de Gestión del
Conocimiento </t>
  </si>
  <si>
    <t>Gestionar el talento humano de la institución para el funcionamiento, mantenimiento y mejora de los procesos, que favorezca el desarrollo de nuestra misión</t>
  </si>
  <si>
    <r>
      <t>Gestión del conocimiento</t>
    </r>
    <r>
      <rPr>
        <b/>
        <sz val="12"/>
        <color theme="1"/>
        <rFont val="Arial"/>
        <family val="2"/>
      </rPr>
      <t xml:space="preserve"> </t>
    </r>
  </si>
  <si>
    <t>INDICADOR DE PRODUCTO</t>
  </si>
  <si>
    <t>Objetivo linea estratégica</t>
  </si>
  <si>
    <t>Documentación de procesos bajo Sistema de Gestión de la calidad y gestión de riesgo</t>
  </si>
  <si>
    <t>Ejecución presupuestal en mantenimiento hospitalario</t>
  </si>
  <si>
    <t xml:space="preserve">Oportunidad de los indicadores clínicos asistenciales priorizados en el plan de gestión. </t>
  </si>
  <si>
    <t xml:space="preserve">Gestión y análisis de los eventos adversos, relacionados con la seguridad del paciente. </t>
  </si>
  <si>
    <t xml:space="preserve">Cumplimiento de
proyectos especial
</t>
  </si>
  <si>
    <t xml:space="preserve">12.4.	Línea 4: Enfoque de servicios por la vida
</t>
  </si>
  <si>
    <t>Componente 2:Investigación para la formación de competencias y desarrollo profesional en salud.</t>
  </si>
  <si>
    <t xml:space="preserve">Avances en la Implementación de acciones del Plan de Gestión Ambiental </t>
  </si>
  <si>
    <r>
      <t xml:space="preserve">Componente 1: </t>
    </r>
    <r>
      <rPr>
        <sz val="12"/>
        <color rgb="FF000000"/>
        <rFont val="Arial"/>
        <family val="2"/>
      </rPr>
      <t>: Ingreso y desarrollo del talento humano</t>
    </r>
  </si>
  <si>
    <t>Aumento en el cumplimiento de la implementación del Plan de Salud y seguridad en el trabajo.</t>
  </si>
  <si>
    <t>Mejoramiento del porcentaje de satisfacción en el clima laboral</t>
  </si>
  <si>
    <t xml:space="preserve">Componente 2: Comprometidos con el mejoramiento continuo </t>
  </si>
  <si>
    <t>Desarrollar actividades tendientes al mantenimiento y mejora del Sistema Obligatorio de Garantía de la Calidad.</t>
  </si>
  <si>
    <t>Promedio de la calificación de la Autoevaluación del Programa de Auditoria para el Mejoramiento de la Calidad</t>
  </si>
  <si>
    <t xml:space="preserve">Sistema de Gestión de la Calidad </t>
  </si>
  <si>
    <t>Sistema de Gestión de la Calidad</t>
  </si>
  <si>
    <r>
      <rPr>
        <u/>
        <sz val="11"/>
        <color theme="1"/>
        <rFont val="Arial"/>
        <family val="2"/>
      </rPr>
      <t>&lt;</t>
    </r>
    <r>
      <rPr>
        <sz val="11"/>
        <color theme="1"/>
        <rFont val="Arial"/>
        <family val="2"/>
      </rPr>
      <t>1</t>
    </r>
  </si>
  <si>
    <r>
      <rPr>
        <u/>
        <sz val="11"/>
        <color theme="1"/>
        <rFont val="Arial"/>
        <family val="2"/>
      </rPr>
      <t>&gt;</t>
    </r>
    <r>
      <rPr>
        <sz val="11"/>
        <color theme="1"/>
        <rFont val="Arial"/>
        <family val="2"/>
      </rPr>
      <t>5</t>
    </r>
  </si>
  <si>
    <t>JEFE MARTHA Y LA PERSONA QUE TRABAJE TELESALUD</t>
  </si>
  <si>
    <t>SANDRA Y SUS FUNCIONARIOS DE APOYO</t>
  </si>
  <si>
    <t>JULIANA GOMEZ Y SUS FUNCIONARIOS DE APOYO</t>
  </si>
  <si>
    <t>SEBASTIAN Y SUS FUNCIONARIOS DE APOYO</t>
  </si>
  <si>
    <t>LUISA HOYOS Y SUS FUNCIONARIOS DE APOYO, Y CONTROL SOCIAL</t>
  </si>
  <si>
    <t>LILIANA RICAURTE, COSTOS, CONTABILIDAD, GLOSAS, FACTURACIÓN</t>
  </si>
  <si>
    <t>DR LARRY -LENO DARIO ARBOLEDA</t>
  </si>
  <si>
    <t>VALERIA Y SUS FUNCIONARIOS DE APOYO</t>
  </si>
  <si>
    <t>SUBGERENCIA, JURIDICA, MANTEMIENTO HOSPITALARIO, CONSTRUCCIÓN DE LAS TORRES MEDICA Y ADMINISTRATIVA, COMPRA DE MEDICAMENTOS E INSUMOS , SERVICIOS GENERALES, ALIMENTACIÓN</t>
  </si>
  <si>
    <t>DR CARLOS MARÍO SALZAR Y TODOS SUS FUNCIONARIOS DE APOYO.</t>
  </si>
  <si>
    <t>COORDINADOR MEDICO, ESPECIALISTAS, ASOCIACIÓN SINDICAL, ENFERMEREAS Y MEDICOS DE PLANTA, PROYECTOS ESPECIALES, LABORATORIO CIRUGIA</t>
  </si>
  <si>
    <t>COORDINADOR MEDICO</t>
  </si>
  <si>
    <t>1020200-1-1020200-4</t>
  </si>
  <si>
    <t>8002100-4</t>
  </si>
  <si>
    <t>8002100-5</t>
  </si>
  <si>
    <t>8002100-2</t>
  </si>
  <si>
    <t>YAN ZULUAGA + RICARDO CASTRILLON + SALARIO DEL GERENTE-REVISOR FISCAL</t>
  </si>
  <si>
    <t xml:space="preserve">FALTA MAS DE FARMACIA </t>
  </si>
  <si>
    <t>2020201 -1010200-1</t>
  </si>
  <si>
    <t>4100200-1 --1010200-1 -2010200-7 - 2010200-7-2010200-4-2020202-6</t>
  </si>
  <si>
    <t>1010200-41 -1010200-1-2010200-12-1010200-1</t>
  </si>
  <si>
    <t>2010200-12</t>
  </si>
  <si>
    <t>2010200-6</t>
  </si>
  <si>
    <t>2020200-6</t>
  </si>
  <si>
    <t>NORALBA,  FALTA NATALIA Y LA OTRA CONTRATISTA</t>
  </si>
  <si>
    <t>YESID FRANK QUIROZ VARELA- FALTA  CLAUDIA AVENDAÑO</t>
  </si>
  <si>
    <t>Realizar la socialización del Plan de Desarrollo a las diferentes áreas y profesionales de la Institución.</t>
  </si>
  <si>
    <t>porcentaje</t>
  </si>
  <si>
    <t>Hacer publicaciones en la pagina y la intranet del hospital el PDI</t>
  </si>
  <si>
    <t>Presentar en el comité directivo los avances de la ejecución de las metas propuesta en el plan.</t>
  </si>
  <si>
    <t xml:space="preserve">Realizar los analisis de unidades de mercado de negocio de la ESE </t>
  </si>
  <si>
    <t>Realizar cronograma o plan de trabajo para la el ajuste o actualización del manual</t>
  </si>
  <si>
    <t xml:space="preserve">Realizar el estudio de la estrutura presentada y aprobada en junta directiva </t>
  </si>
  <si>
    <t>Presentar ante la asamblea el estudio  estrutura organizacional para su aprobación</t>
  </si>
  <si>
    <t xml:space="preserve">Diagnostico ambiental y sanitario </t>
  </si>
  <si>
    <t xml:space="preserve">Programa de formación y educación ambiental </t>
  </si>
  <si>
    <t>Separación en la fuente</t>
  </si>
  <si>
    <t>Planeación: elección de estrategias para promover la movilidad sostenible</t>
  </si>
  <si>
    <t xml:space="preserve">Educación y sensibilización sobre Movilidad Empresarial Sostenible </t>
  </si>
  <si>
    <t>Implementación del Plan MES</t>
  </si>
  <si>
    <t>Caracterización de vertimientos anual</t>
  </si>
  <si>
    <t>Tramitar el tratamiento de las Aguas Residuales No Domesticas( ARnD) con EPM</t>
  </si>
  <si>
    <t xml:space="preserve">Capacitaciones para la eduación y concientización del consumo del agua </t>
  </si>
  <si>
    <t>Descansapantallas sobre el uso adecuado del agua</t>
  </si>
  <si>
    <t>Realizar lavado y mantenimiento del tanque de almacenamiento de agua cada 6 meses</t>
  </si>
  <si>
    <t>Realizar capacitaciones al personal del aseo para el buen uso de productos de desinfección y limpieza</t>
  </si>
  <si>
    <t>2010200-2</t>
  </si>
  <si>
    <t>2010200-3</t>
  </si>
  <si>
    <t>2010200-8</t>
  </si>
  <si>
    <t>2010200-9</t>
  </si>
  <si>
    <t>2020102-1</t>
  </si>
  <si>
    <t xml:space="preserve">1010200-1  1010100  </t>
  </si>
  <si>
    <t>1010200-1         1010200-4</t>
  </si>
  <si>
    <t>1010200-4     1010200-1           1010100</t>
  </si>
  <si>
    <t>1010200-1        2020101</t>
  </si>
  <si>
    <t>1010200-1   1010000</t>
  </si>
  <si>
    <t>2010200-4   1010000</t>
  </si>
  <si>
    <t>1010200-1         1010200-4      3300100</t>
  </si>
  <si>
    <t>SERVICIOS PUBLICOS</t>
  </si>
  <si>
    <t>RECURSO HUMANO ADMINISTRATIVO</t>
  </si>
  <si>
    <t>VIGENCIAS ANTERIORES RECURSO HUMANO ASISTENCIAL</t>
  </si>
  <si>
    <t xml:space="preserve">Jornadas de socialización y sensibilziación de los procesos documentados </t>
  </si>
  <si>
    <t xml:space="preserve">Definición de los indicadores de los procesos </t>
  </si>
  <si>
    <t xml:space="preserve">Verificación del cumplimiento de las acciones de mejora de proceso </t>
  </si>
  <si>
    <t xml:space="preserve">Formulación de la poltica de administración del riesgo  y adopción mediante resolución </t>
  </si>
  <si>
    <t xml:space="preserve">Documentación de procesos , según el mapa de procesos </t>
  </si>
  <si>
    <t>Realizar mensulamente el seguimiento de la metas propuestas en el plan</t>
  </si>
  <si>
    <t>Realizar el diagnóstico de tecnologia de equipos biomédicos paratiendo de la matriz de evaluacion tecnológica.</t>
  </si>
  <si>
    <t>número</t>
  </si>
  <si>
    <t xml:space="preserve">Realizar estudio de mercado de tecnologia biomedica para la adquisición. </t>
  </si>
  <si>
    <t xml:space="preserve">Mantenimiento preventivo equipos biomedicos </t>
  </si>
  <si>
    <t xml:space="preserve">Control de tiempos de ejecucion de mantenimiento correctivo </t>
  </si>
  <si>
    <t xml:space="preserve">Calibracion de equipos biomedicos </t>
  </si>
  <si>
    <t>dias</t>
  </si>
  <si>
    <t xml:space="preserve">Adquirir  software de inducción </t>
  </si>
  <si>
    <t xml:space="preserve"> Implementar una aplicativo para el apoyo en la gestión del conocimento de la ESE Hospital La María</t>
  </si>
  <si>
    <t>Mantenimiento preventivo equipos de computo</t>
  </si>
  <si>
    <t>Seguimiento y control a las aplicaciones que se encuentran instladas en los equipos de computo de la ESE Hospital la María</t>
  </si>
  <si>
    <t>Adquisicion de equipos provistos para un DATACENTER</t>
  </si>
  <si>
    <t>1.Realizar capacitaciones al personal asistencial enfocadas en la atención con enfoque diferencial. (lenguaje de señas, personas en condiciones de discapacidad, población indígena, etc.)</t>
  </si>
  <si>
    <t xml:space="preserve"> Por medio de los canales institucionales (redes sociales, carteleras, descansa pantallas) sencibilizar o distribuir piezas gráficas información sobre la atención con enfoque diferencial. </t>
  </si>
  <si>
    <t>Socialización de la carta del trato digno y derechos y deberes de los usuarios a los empleados de la E.S.E Hospital La María.</t>
  </si>
  <si>
    <t xml:space="preserve">Realizar piezas gráficas que sencibilicen al personal y comunidad en general sobre el trato digno a la población vulnerable que serán difundidas por los diferentes medios de comunicación institucionales. </t>
  </si>
  <si>
    <t>Creación de un canal de YouTube enfocado en las experiencias de vida de población: invidentes, en condiciones de discapacidad, víctimas de conflicto, etc.)</t>
  </si>
  <si>
    <t>. Creación de un boletín interno, el cual tendrá noticias destacadas de lo que pasa en la institución. Este será difundido por los correos electrónicos y grupos de WhasApp.</t>
  </si>
  <si>
    <t>Realizar una parrilla de contenido que abarque temas de interés con enfoque diferencial.</t>
  </si>
  <si>
    <t>Realizar unn informe del analisis de los canales  de distribución de los segmentos de clientes especificos</t>
  </si>
  <si>
    <t>Realizar capacitaciones al personal asistencial enfocadas en la atención con enfoque diferencial. (lenguaje de señas, personas en condiciones de discapacidad, población indígena, etc.)</t>
  </si>
  <si>
    <t>Realizar talleres sobre temas de enfoque diferencial, acceso a la salud y trato digno con algunos representantes de la comunidad.</t>
  </si>
  <si>
    <t xml:space="preserve">Brindar a los usuarios apoyo alimentario por medio del comedor comunitario que nos ofrecen algunos líderes de la comuna 5. </t>
  </si>
  <si>
    <t>Solicitar donaciones a empresas privadas de acuerdo a las necesidades requeridas de los usuaros, ya que la mayoría no cuenta con los recursos necesaros.</t>
  </si>
  <si>
    <t>Generar una oportuna respuesta a las diferentes PQRSD que llegan a la oficina del SIAU.</t>
  </si>
  <si>
    <t>Socializar con la comunidad el debido procedmiento que tiene una PQRSD dentro de la institución. (rondas educativas, piezas gráficas).</t>
  </si>
  <si>
    <t xml:space="preserve"> Realización y Socialización de rendición de cuentas.</t>
  </si>
  <si>
    <t xml:space="preserve"> Brindar asesoría y orenteción a los usuarios que tienen dificultades con el acceso a la salud.</t>
  </si>
  <si>
    <t>Guiar a la Asociación de Usuarios en sus diferentes reuniones respecto a temas de participación social en salud</t>
  </si>
  <si>
    <t>Realizar comités de ética en los cuales se encuentran algunos represenantes de la comunidad.</t>
  </si>
  <si>
    <t xml:space="preserve">Brindar asesoría y orentción a los usuarios que tienen dificultades con el acceso a la salud. </t>
  </si>
  <si>
    <t xml:space="preserve"> Medir la percepción de los usuarios frente al servicio prestado en los servicios de consulta externa y hospitalicación</t>
  </si>
  <si>
    <t>COMUNOCACIÓN</t>
  </si>
  <si>
    <t>ATENCIÓN AL USUARIO</t>
  </si>
  <si>
    <t>GESTIÓN HUMANA</t>
  </si>
  <si>
    <t xml:space="preserve"> cronograma de actividades de capacitación y formacion durante el 2021, dirigido a todo el personal que ingresa a la institución en cualquier tipo de vinculación con la ESE; El plan busca adherencia a las politicas de la ESE, formando en competencias laborales y humanas generando idoneidad en el desempeño de los cargos.</t>
  </si>
  <si>
    <t>Actualizar y mantener conocimientos generales de la Institución, para el mejor desempeño de empledos, contratistas, agremiados y estudiantes que intervengan en la ESE.  Se evaluará semestralmente todos los empleados en las areas de desempeño</t>
  </si>
  <si>
    <t>El SGSST es un modelo de estandares obligatorios que la institucion debe cumplir, encaminados a la proteccion y la seguridad del trabajador en su desempeño laaboral. Incluye protocolos y programas.</t>
  </si>
  <si>
    <t>Numero de evento</t>
  </si>
  <si>
    <t>70 al 75%</t>
  </si>
  <si>
    <t>75 al 80%</t>
  </si>
  <si>
    <t>80 al 85%</t>
  </si>
  <si>
    <t>Medicion a traves de una encuesta de la satisfaccion y de la percepcion del ambiente laboral por parte de cada empleado de la ESE.</t>
  </si>
  <si>
    <t>Plan de Bienestar e Incentivos contiene las tareas y actividades que busca el mejoramiento del ambiente laboral, generando valores agregados para los empleados y su entorno, mediante actividades, subsidios, incentivos y otros que refuerzan la compensacion de su labor.</t>
  </si>
  <si>
    <t>Plan y cronograma de actividades formativas y educativas, planteadas para el personal de la institución, acorde con las necesidades presentadas por cada area.</t>
  </si>
  <si>
    <t>planeacion de las posibles vacantes que se desarrollan en el transcurso del año, y su provision.  Para el 2021 son 11 vacantes por jubilacion mas las que puedan generarse, por otros motivos no programados.</t>
  </si>
  <si>
    <t>Es el plan de trabajo institucional del area de Gestion Humana, que contiene todas las tareas a cargo del proceso</t>
  </si>
  <si>
    <t>Es el plan de evaluacion donde se mide el nivel de desempeño de los empleados vinculados a la ESE.  Se realiza semestralmente y se alimenta a la CNSC mediante la plataforma EDL-APP y los formatos de medicion.</t>
  </si>
  <si>
    <t>Capacitaciones para el personal pre- jubilable, y actividades del grupo de jubilados de la institución.</t>
  </si>
  <si>
    <t>Reducir la rotacion del personal administrativo y misional, vinculado a la ESE por los diversos medios de contratacion.</t>
  </si>
  <si>
    <t>Formular politica de conocimieno e inv.</t>
  </si>
  <si>
    <t>politica</t>
  </si>
  <si>
    <t>Movimiento Interno de Residuos</t>
  </si>
  <si>
    <t xml:space="preserve">Garantizar la disposición final del 100% de los residuos de riesgo biológico por empresa externa idónea, a través de un contrato. </t>
  </si>
  <si>
    <t>Número</t>
  </si>
  <si>
    <t>Diagnostico: encuesta de origen-destino a colaboradores</t>
  </si>
  <si>
    <t>Uso eficiente de los recursos  naturales       ( Uso eficiente del uso del agua)</t>
  </si>
  <si>
    <t>Uso eficiente de los recursos  naturales       ( Uso eficiente del uso de la energía)</t>
  </si>
  <si>
    <t>Fijar las bases para la Conservación y Limpieza de Zonas Verdes del Hospital la maría, mediante un estándar de actividades programadas para su sostenimiento y cumplimiento.</t>
  </si>
  <si>
    <t xml:space="preserve">Capacitaciones para la eduación y concientización del consumo de la energía y la luz natural </t>
  </si>
  <si>
    <t>Descansapantallas sobre el uso adecuado de la energía</t>
  </si>
  <si>
    <t>Realizar seguimiento a los consumos de energía</t>
  </si>
  <si>
    <t>ÁREA DE GESTIÓN AMBIENTAL</t>
  </si>
  <si>
    <t>Realizar el documento de atención de la ESE Hospital La María</t>
  </si>
  <si>
    <t>SUBGERENCIA-PLANEACION-CALIDAD</t>
  </si>
  <si>
    <t>Realizar el inventario documental</t>
  </si>
  <si>
    <t xml:space="preserve">Eliminación de documentos que cumplieronn el tiempo de custodia </t>
  </si>
  <si>
    <t>Organización documental</t>
  </si>
  <si>
    <t xml:space="preserve">Identificar el proveedor para Plataforma de Gestión Documental </t>
  </si>
  <si>
    <t>Capacitaciones al personal en: Reglamento Interno de Archivo- Archivos de Gestión- Ventanilla Unica</t>
  </si>
  <si>
    <t xml:space="preserve">Realizar preauditoria a las facturas antes de su radicacion </t>
  </si>
  <si>
    <t xml:space="preserve">Entrega oportuna y efetiva de turnos de enfermeria y farmacia </t>
  </si>
  <si>
    <t xml:space="preserve">Realizar seguimiento con visitas a los contratantes </t>
  </si>
  <si>
    <t>Circularizacion de la cartera con todas las entidades responsables de pago</t>
  </si>
  <si>
    <t xml:space="preserve">Registro diario de la recepcion de las glosas </t>
  </si>
  <si>
    <t xml:space="preserve">Radicacion de las respuestas de glosas </t>
  </si>
  <si>
    <t>Auditoria de los egresos sin facturar</t>
  </si>
  <si>
    <t xml:space="preserve">Gestion de la consecucion  de las causales de la glosa </t>
  </si>
  <si>
    <t xml:space="preserve">Realizar negociaciones y conciliaciones efectivas </t>
  </si>
  <si>
    <t>Verificar la existencia del documento del proceso</t>
  </si>
  <si>
    <t>creacion y monitoreo de centros de costos</t>
  </si>
  <si>
    <t xml:space="preserve">Generar los informes mensuales  de cada centro de costos,  </t>
  </si>
  <si>
    <t xml:space="preserve">Realizar analisis de facturacion Vs gastos de manera mensual </t>
  </si>
  <si>
    <t xml:space="preserve">realizar control a la totalidad de los requisitos exigidos para proceser al pago </t>
  </si>
  <si>
    <t>Analizar mensual el comportamiento presupuestal y presentacion de informe</t>
  </si>
  <si>
    <t xml:space="preserve">Elaborar conciliaciones de la informacion entre las diferentes areas que confluyen a contabilidad. </t>
  </si>
  <si>
    <t>Actualizar el listado basico</t>
  </si>
  <si>
    <t>Realizar control de maximos y minimos que permita un reposición oportuna de cantidades de acuerdo a la necesidades de la institución.</t>
  </si>
  <si>
    <t>Adjudicar oportunamente en plataforma para garantizar cumplimiento de tiempos establecidos por los proveedores.</t>
  </si>
  <si>
    <t>Realizar auditorias ambientales</t>
  </si>
  <si>
    <t>Certificación en buenas practicas de manufactura(BPM), para la producción de aire medicinales.</t>
  </si>
  <si>
    <t>convocar el comité de cotración para la socialización de la actualización del del Manual de contratación.</t>
  </si>
  <si>
    <t>Realizar la actualización del manual de contratación de la ESE Hospital La Maria.</t>
  </si>
  <si>
    <t>Realizar informe de las ordenes evaluadas en cada comité de contratación</t>
  </si>
  <si>
    <t>Verificar que las ordenes de  compra cumplan con los requisitos estabalecidos por la ESE.</t>
  </si>
  <si>
    <t>Realizar el seguimiento del cumplimientos de los planes de mejoramiento existentes en la institución.</t>
  </si>
  <si>
    <t>Realizar cronograma de mantenimiento hospitalario acorde conn lo establecido en el Plan</t>
  </si>
  <si>
    <t xml:space="preserve">Verificar el cumplimientodel cronograma del plan de matenimiento </t>
  </si>
  <si>
    <t>Verificar el cumplimiento de los informes requeridos a la supersalud en los tiempos establecidos(informes,pantallazos del cargue)</t>
  </si>
  <si>
    <t>Verificar el cumplimiento de los informes  de la resolución 2193 de 2004, en los tiempos establecidos(informes,pantallazos del cargue)</t>
  </si>
  <si>
    <t>Realizar informes y presentarlos a la junta directiva y al gerente de la ejecución de los proyectos</t>
  </si>
  <si>
    <t>servicios de mensajeria, alimentación, lavanderia, vigilancia,combustible, aseo y otras actividades prioritarias para la ESE</t>
  </si>
  <si>
    <t>adquirir equipos de computo con tecnologia moderna que aporte al desarrollo del hospital</t>
  </si>
  <si>
    <t xml:space="preserve">	Línea 5: Compañía, amor y humanización al servicio de todos</t>
  </si>
  <si>
    <t>Generar una oportuna respuesta a las problemáticas, necesidades, oportunidades, limitaciones y debilidades, que afectan a la comunidad, con el propósito de dar cumplimiento al marco legal vigente en derechos humanos y participación social en salud</t>
  </si>
  <si>
    <t>Componente 1: Comunicación para el cambio y desarrollo social</t>
  </si>
  <si>
    <t>Brindar información de calidad y de manera oportuna a los usuarios, garantizando en el proceso un acceso digno y eficaz a la salud, sin importar su condición de vulnerabilidad</t>
  </si>
  <si>
    <t>Percepción del acceso a los servicios de salud que oferta la E.S.E.</t>
  </si>
  <si>
    <t xml:space="preserve">. Brindar asesoría y orientación a los usuarios que tienen dificultades con el acceso a la salud. </t>
  </si>
  <si>
    <t xml:space="preserve">realizar guias y protocolos de atencion de hemodialis </t>
  </si>
  <si>
    <t xml:space="preserve">tener recurso humano entrenado </t>
  </si>
  <si>
    <t xml:space="preserve">evaluacion de capacitaciones </t>
  </si>
  <si>
    <t xml:space="preserve">porcentaje </t>
  </si>
  <si>
    <t xml:space="preserve">realizar guias y protocolos de atencion de hemofilia </t>
  </si>
  <si>
    <t xml:space="preserve">realizar contratacion con eps para el programa de hemofilia </t>
  </si>
  <si>
    <t xml:space="preserve">numero </t>
  </si>
  <si>
    <t xml:space="preserve">contratar personal idoneo </t>
  </si>
  <si>
    <t xml:space="preserve">realizar contratacion con eps para el programa de cirugia oncologica </t>
  </si>
  <si>
    <t xml:space="preserve">realizar guias y protocolos de atencion de cirugia oncologica </t>
  </si>
  <si>
    <t>contar con infraestructura adecuada para prestacion del servicio</t>
  </si>
  <si>
    <t xml:space="preserve">realizar contratacion con eps para el programa de reumatologia </t>
  </si>
  <si>
    <t xml:space="preserve">realizar guias y protocolos de atencion de reumatologia </t>
  </si>
  <si>
    <t xml:space="preserve">evaluacion trimestral de adherencia guias según formato de de aherencia historia clinica </t>
  </si>
  <si>
    <t xml:space="preserve">crear formato de adherencia a historia clinica </t>
  </si>
  <si>
    <t xml:space="preserve">contratacion 40 horas semanales medicina interna adicionales a las que se tenian </t>
  </si>
  <si>
    <t xml:space="preserve">evaluacion de oportunidad medicina interna mensual </t>
  </si>
  <si>
    <t>ampliacion capacidad en 2 consultorios</t>
  </si>
  <si>
    <t xml:space="preserve">aumento 30 horas consulta cirugia general </t>
  </si>
  <si>
    <t xml:space="preserve">evaluacion oportunidad asignacion citas valoracion mensaul </t>
  </si>
  <si>
    <t xml:space="preserve">disponibilidad de 1 consultorio cada dia </t>
  </si>
  <si>
    <t xml:space="preserve">ampliacion 8 horas semanales consulta urologia </t>
  </si>
  <si>
    <t>uno</t>
  </si>
  <si>
    <t xml:space="preserve">aumnetar 16 horas semanalas consulta ortopedia </t>
  </si>
  <si>
    <t xml:space="preserve">valoracion indicador de oportunidad mensual </t>
  </si>
  <si>
    <t xml:space="preserve">asignacion medico para paciente critico </t>
  </si>
  <si>
    <t xml:space="preserve">evaluacion indicador de oportunidad atencion triage II mensual </t>
  </si>
  <si>
    <t>capacitacion personal en tecnica ESI semestral</t>
  </si>
  <si>
    <t xml:space="preserve">asignacion camillero para laboratorio 40 horas a la semana </t>
  </si>
  <si>
    <t>cambio de sofware laboratorio</t>
  </si>
  <si>
    <t>evaluacion indicador de oportunidad mensual</t>
  </si>
  <si>
    <t xml:space="preserve">aumento 30 horas cirugia general a la semana  </t>
  </si>
  <si>
    <t xml:space="preserve">aumento capacidfad instalada en dos quirofanos </t>
  </si>
  <si>
    <t xml:space="preserve">evaluacion mensual de indicador de apendicectomia </t>
  </si>
  <si>
    <t xml:space="preserve">evaluacion mensual de indicador de mortalidad intrahospitalaria </t>
  </si>
  <si>
    <t>analisis mensual en comité COVE</t>
  </si>
  <si>
    <t>evaluacion del indicador de infeccion intrahospitalaria mensual</t>
  </si>
  <si>
    <r>
      <t xml:space="preserve">Realizar </t>
    </r>
    <r>
      <rPr>
        <b/>
        <sz val="11"/>
        <color theme="1"/>
        <rFont val="Arial"/>
        <family val="2"/>
      </rPr>
      <t>Pruebas Rápidas</t>
    </r>
    <r>
      <rPr>
        <sz val="11"/>
        <color theme="1"/>
        <rFont val="Arial"/>
        <family val="2"/>
      </rPr>
      <t xml:space="preserve"> de VIH a la población HSH, TRANS y TS</t>
    </r>
  </si>
  <si>
    <r>
      <t xml:space="preserve">Realizar </t>
    </r>
    <r>
      <rPr>
        <b/>
        <sz val="11"/>
        <color theme="1"/>
        <rFont val="Arial"/>
        <family val="2"/>
      </rPr>
      <t>Pruebas Rápidas</t>
    </r>
    <r>
      <rPr>
        <sz val="11"/>
        <color theme="1"/>
        <rFont val="Arial"/>
        <family val="2"/>
      </rPr>
      <t xml:space="preserve"> de VIH a la población PID</t>
    </r>
  </si>
  <si>
    <r>
      <t xml:space="preserve">Hacer la entrega de </t>
    </r>
    <r>
      <rPr>
        <b/>
        <sz val="11"/>
        <color theme="1"/>
        <rFont val="Arial"/>
        <family val="2"/>
      </rPr>
      <t>Paquetes de Prevención</t>
    </r>
    <r>
      <rPr>
        <sz val="11"/>
        <color theme="1"/>
        <rFont val="Arial"/>
        <family val="2"/>
      </rPr>
      <t xml:space="preserve"> de ETS a la población HSH, TRANS y TS</t>
    </r>
  </si>
  <si>
    <r>
      <t xml:space="preserve">Hacer la entrega de </t>
    </r>
    <r>
      <rPr>
        <b/>
        <sz val="11"/>
        <color theme="1"/>
        <rFont val="Arial"/>
        <family val="2"/>
      </rPr>
      <t>KITS de Inyección</t>
    </r>
    <r>
      <rPr>
        <sz val="11"/>
        <color theme="1"/>
        <rFont val="Arial"/>
        <family val="2"/>
      </rPr>
      <t xml:space="preserve"> a la población PID</t>
    </r>
  </si>
  <si>
    <t xml:space="preserve">aumentar en numero de contratos con la EPS del departamneto en 25 % al año </t>
  </si>
  <si>
    <t xml:space="preserve">implementacion sofware centro regulador </t>
  </si>
  <si>
    <t xml:space="preserve">ampliacion portafoliode servicio en dos nuevas especialidades </t>
  </si>
  <si>
    <t xml:space="preserve">implementar programa teleconsulta al menos una especialidad </t>
  </si>
  <si>
    <t xml:space="preserve">union temporal estrategica para realizar telesalud </t>
  </si>
  <si>
    <t xml:space="preserve">realizar analisis de pacientes comentados a la ESE </t>
  </si>
  <si>
    <t xml:space="preserve">implementar sofware centro regular  , pacientes recibidos en plataforma </t>
  </si>
  <si>
    <t>aumentra personal apoyo centro regulador 120 horas semana</t>
  </si>
  <si>
    <t>realizar gestion con la EPS  AIC para contratacion</t>
  </si>
  <si>
    <t>Contratación de recurso humano asistencial (personal médico, enfermeras, especialistas)</t>
  </si>
  <si>
    <t>Programa Especial INPEC
Realizar la gestión  de contratos de proyectos especiales (INPEC)</t>
  </si>
  <si>
    <t>Realizar la gestión  de contratos de proyectos especiales
Programa Especial VIH-SAVIA</t>
  </si>
  <si>
    <t>Asesora de proyectos especiales</t>
  </si>
  <si>
    <t>Realizar plan de mejoramiento de acuerdo a las oportunidades de mejoras encontradas en la autoevaluación.</t>
  </si>
  <si>
    <t>Realizar la autoevaluación de los estandares de acreditación - PAMEC</t>
  </si>
  <si>
    <t xml:space="preserve">Realizar Publicación de artículos en revistas  indexadas </t>
  </si>
  <si>
    <t>SEGUIMIENTO PLAN OPERATIVO ANUAL</t>
  </si>
  <si>
    <t>1 TRIMESTRE</t>
  </si>
  <si>
    <t>2TRIMESTRE</t>
  </si>
  <si>
    <t>3TRIMESTRE</t>
  </si>
  <si>
    <t>4 TRIMESTRE</t>
  </si>
  <si>
    <t>RECURSOS EJECUTADOS 1 TRIMESTRE</t>
  </si>
  <si>
    <t>RECURSOS EJECUTADOS 2 TRIMESTRE</t>
  </si>
  <si>
    <t>RECURSOS EJECUTADOS 3 TRIMESTRE</t>
  </si>
  <si>
    <t>RECURSOS EJECUTADOS 4 TRIMESTRE</t>
  </si>
  <si>
    <t>TOTAL RECURSOS EJECUTADOS AÑO</t>
  </si>
  <si>
    <t>% RECURSOS EJECUTADOS AÑO</t>
  </si>
  <si>
    <t>OBSERVACIÓN 1 TRIMESTRE</t>
  </si>
  <si>
    <t>OBSERVACIÓN 2TRIMESTRE</t>
  </si>
  <si>
    <t>OBSERVACIÓN 4 TRIMESTRE</t>
  </si>
  <si>
    <t>RELACIÓN DE CONTRATOS O COMPRAS QUE APORTAN A LA EJECUCIÓN DE LAS ACTIVIDADES
1 TRIMESTRE</t>
  </si>
  <si>
    <t>RELACIÓN DE CONTRATOS O COMPRAS QUE APORTAN A LA EJECUCIÓN DE LAS ACTIVIDADES
2 TRIMESTRE</t>
  </si>
  <si>
    <t>RELACIÓN DE CONTRATOS O COMPRAS QUE APORTAN A LA EJECUCIÓN DE LAS ACTIVIDADES
3 TRIMESTRE</t>
  </si>
  <si>
    <t>RELACIÓN DE CONTRATOS O COMPRAS QUE APORTAN A LA EJECUCIÓN DE LAS ACTIVIDADES
4 TRIMESTRE</t>
  </si>
  <si>
    <t>OBSERVACIONES</t>
  </si>
  <si>
    <t>OBEJTIVO  DE LA LINEA:Definir e implementar acciones que permitan el direccionamiento institucional de la E.S.E hacia la renovación de la infraestructura y la tecnología, el rediseño de la estructura organizacional, la cultura en sistemas de gestión de la calidad y el fortalecimiento contractual, en cumplimiento de nuestro objeto social,entrado en la seguridad del paciente y la satisfacción del usuario y su familia.</t>
  </si>
  <si>
    <t>EVIDENCIAS O INFORMES QUE SOPORTEN LA REALIZACIÓN DE LAS ACTIVIDADES</t>
  </si>
  <si>
    <t>SEGUIMIENTO DEL PLAN OPERATIVO ANUAL DE INVERSIONES</t>
  </si>
  <si>
    <t>ESE HOSPITAL LAMARÍA</t>
  </si>
  <si>
    <t>TOTAL ACTIVIDADES PLANEADAS</t>
  </si>
  <si>
    <t>TOTAL ACTIVIDADES EJECUATDAS 1 TRIMESTRE</t>
  </si>
  <si>
    <t>% CUMPLIMIENTO</t>
  </si>
  <si>
    <t>TOTAL ACTIVIDADES EJECUATDAS 2 TRIMESTRE</t>
  </si>
  <si>
    <t>TOTAL ACTIVIDADES EJECUATDAS 3 TRIMESTRE</t>
  </si>
  <si>
    <t>TOTAL ACTIVIDADES EJECUATDAS 4 TRIMESTRE</t>
  </si>
  <si>
    <t>TOTAL RECURSOS ASISGNADOS</t>
  </si>
  <si>
    <t xml:space="preserve">RECURSOS EJECUTADOS 1 TRIMESTRE </t>
  </si>
  <si>
    <t xml:space="preserve">RECURSOS EJECUTADOS 2 TRIMESTRE </t>
  </si>
  <si>
    <t xml:space="preserve">RECURSOS EJECUTADOS 3 TRIMESTRE </t>
  </si>
  <si>
    <t xml:space="preserve">RECURSOS EJECUTADOS 4 TRIMESTRE </t>
  </si>
  <si>
    <t>UNIDAD DE MEDIDA</t>
  </si>
  <si>
    <t xml:space="preserve">Número </t>
  </si>
  <si>
    <t>SEGUIMIENTO FÍSICO  PLAN OPERATIVO ANUAL DE INVERSIONES DE LA LINEA 1</t>
  </si>
  <si>
    <t>SEGUIMIENTO FÍSICO  PLAN OPERATIVO ANUAL DE INVERSIONES DEL COMPONENTE  1</t>
  </si>
  <si>
    <t>SEGUIMIENTO FINACIERO DEL PLAN OPERATIVO ANUAL DE INVERSIONES DELCOMPONENTE  1</t>
  </si>
  <si>
    <t>SEGUIMIENTO FÍSICO  PLAN OPERATIVO ANUAL DE INVERSIONES DEL COMPONENTE 2</t>
  </si>
  <si>
    <t>SEGUIMIENTO FINACIERO DEL PLAN OPERATIVO ANUAL DE INVERSIONES DEL COMPONENTE 2</t>
  </si>
  <si>
    <t>SEGUIMIENTO FÍSICO  PLAN OPERATIVO ANUAL DE INVERSIONES DEL COMPONENTE 3</t>
  </si>
  <si>
    <t>SEGUIMIENTO FINACIERO DEL PLAN OPERATIVO ANUAL DE INVERSIONES  DEL COMPONENTE 3</t>
  </si>
  <si>
    <t>TOTAL COMPONENTE</t>
  </si>
  <si>
    <t>OBEJTIVO  DE LA LINEA: Gestionar el equilibrio y la sostenibilidad financiera, mediante el análisis permanente del comportamiento administrativo, contable y financiero, que provea la información necesaria para la toma de decisiones.</t>
  </si>
  <si>
    <t xml:space="preserve">OBEJTIVO  DE LA LINEA:prestar servicios de salud de alta y mediana complejidad; mediante una atención segura, humanizada y con calidad, a través de una gestión transparente y adecuada de los recursos; enfocándose en el mejoramiento continuo, la satisfacción del usuario, la familia y la comunidad </t>
  </si>
  <si>
    <t>Línea 4: Enfoque de servicios por la vida</t>
  </si>
  <si>
    <t>OBEJTIVO  DE LA LINEA:Enfocar el proceso de atención de la E.S.E en el trato digno de las personas, con altos estándares de calidad y valor científico.</t>
  </si>
  <si>
    <t>SEGUIMIENTO PLAN OPERATIVO ANUAL INVERSIONES</t>
  </si>
  <si>
    <t>Línea 5: Compañía, amor y humanización al servicio de todos</t>
  </si>
  <si>
    <t>OBEJTIVO  DE LA LINEA:Generar una oportuna respuesta a las problemáticas, necesidades, oportunidades, limitaciones y debilidades, que afectan a la comunidad, con el propósito de dar cumplimiento al marco legal vigente en derechos humanos y participación social en salud</t>
  </si>
  <si>
    <t>Línea 6: Innovación, ciencia e investigación para la vida</t>
  </si>
  <si>
    <t>OBEJTIVO  DE LA LINEA:Establecer los problemas en salud pública y contribuir con respuestas y medidas de intervención pertinente y costo efectivas de prevención de la enfermedad, promoción de la salud y control; con énfasis en nuestra población vulnerable. fortalecimiento contractual, en cumplimiento de nuestro objeto social,entrado en la seguridad del paciente y la satisfacción del usuario y su familia.</t>
  </si>
  <si>
    <t>TOTALCOMPONENTE</t>
  </si>
  <si>
    <t>Línea 7: Medio ambiente sano y seguro, dejando huella para la vida</t>
  </si>
  <si>
    <t>OBEJTIVO  DE LA LINEA:Fortalecer la planeación y gestión de seguridad y salud en el trabajo, medio ambiente e infraestructura, a través, del desarrollo de los componentes estratégicos, temáticos y medibles</t>
  </si>
  <si>
    <t>Línea 8: Gestión integral del talento humano que trabaja con amor por la vida</t>
  </si>
  <si>
    <t>OBEJTIVO  DE LA LINEA:Gestionar el talento humano de la institución para el funcionamiento, mantenimiento y mejora de los procesos, que favorezca el desarrollo de nuestra misión</t>
  </si>
  <si>
    <t>Número de Paquetes</t>
  </si>
  <si>
    <t>NUMERO de KITS de Inyección</t>
  </si>
  <si>
    <t>Numero de Pruebas</t>
  </si>
  <si>
    <t>SEGUIMIENTO FÍSICO  PLAN OPERATIVO ANUAL DE INVERSIONES DEL COMPONENTE 4</t>
  </si>
  <si>
    <t>SEGUIMIENTO FINACIERO DEL PLAN OPERATIVO ANUAL DE INVERSIONES  DEL COMPONENTE 4</t>
  </si>
  <si>
    <t>SEGUIMIENTO FÍSICO  PLAN OPERATIVO ANUAL DE INVERSIONES DE LA LINEA 4</t>
  </si>
  <si>
    <t>Día</t>
  </si>
  <si>
    <t>SEGUIMIENTO FINACIERO DEL PLAN OPERATIVO ANUAL DE INVERSIONES  DE LA LINEA 4</t>
  </si>
  <si>
    <t>SEGUIMIENTO FINACIERO DEL PLAN OPERATIVO ANUAL DE INVERSIONES  LINEA 5</t>
  </si>
  <si>
    <t>SEGUIMIENTO FÍSICO  PLAN OPERATIVO ANUAL DE INVERSIONES DE LA LINEA 5</t>
  </si>
  <si>
    <t>SEGUIMIENTO FÍSICO  PLAN OPERATIVO ANUAL DE INVERSIONES DE LA LINEA 6</t>
  </si>
  <si>
    <t>SEGUIMIENTO FINACIERO DEL PLAN OPERATIVO ANUAL DE INVERSIONES  DELA LINEA 6</t>
  </si>
  <si>
    <t>SEGUIMIENTO FINACIERO DEL PLAN OPERATIVO ANUAL DE INVERSIONES  DE LA LINEA 7</t>
  </si>
  <si>
    <t>SEGUIMIENTO FÍSICO  PLAN OPERATIVO ANUAL DE INVERSIONES DE LA LINEA 7</t>
  </si>
  <si>
    <t>SEGUIMIENTO FÍSICO  PLAN OPERATIVO ANUAL DE INVERSIONES DE LA LINEA 8</t>
  </si>
  <si>
    <t>SEGUIMIENTO FINACIERO DEL PLAN OPERATIVO ANUAL DE INVERSIONES   DE LA LINEA 8</t>
  </si>
  <si>
    <t>NUMERO</t>
  </si>
  <si>
    <t xml:space="preserve">LINEAS </t>
  </si>
  <si>
    <t>PRIMER TRIMESTRE</t>
  </si>
  <si>
    <t>SEGUNDO  TRIMESTRE</t>
  </si>
  <si>
    <t>TERCER TRIMESTRE</t>
  </si>
  <si>
    <t>CUARTO TRIMESTRE</t>
  </si>
  <si>
    <t>Linea 1</t>
  </si>
  <si>
    <t>Linea 2</t>
  </si>
  <si>
    <t>Linea 3</t>
  </si>
  <si>
    <t>Linea 4</t>
  </si>
  <si>
    <t>Linea 5</t>
  </si>
  <si>
    <t>Linea 6</t>
  </si>
  <si>
    <t>Linea 7</t>
  </si>
  <si>
    <t>Linea 8</t>
  </si>
  <si>
    <t>META</t>
  </si>
  <si>
    <t xml:space="preserve"> RECURSOS ASISGNADOS</t>
  </si>
  <si>
    <t>TOTAL LINEAS</t>
  </si>
  <si>
    <t>RESUMEN DE EJECUCIÓN FÍSICA Y FIANCIERA DEL POAI 2021 DE LA ESE HOSPITAL LA MARÍA.</t>
  </si>
  <si>
    <t>SEGUIMIENTO FÍSICO  POAI 2021</t>
  </si>
  <si>
    <t>2010200-12  1020200-1</t>
  </si>
  <si>
    <t>Revision diaria de prefacturas de pacientes con probabilidad de alta</t>
  </si>
  <si>
    <t>Programadas 1 trimestre</t>
  </si>
  <si>
    <t>Ejecutadas 1 trimestre</t>
  </si>
  <si>
    <t>Programadas 2 trimestre</t>
  </si>
  <si>
    <t>Ejecutadas 2 trimestre</t>
  </si>
  <si>
    <t>Programadas 3 trimestre</t>
  </si>
  <si>
    <t>Ejecutadas 3 trimestre</t>
  </si>
  <si>
    <t>Programadas 4 trimestre</t>
  </si>
  <si>
    <t>Ejecutadas 4 trimestre</t>
  </si>
  <si>
    <t>%  de cumplimiento- meta trimestre</t>
  </si>
  <si>
    <t>%  de cumplimiento- meta anual</t>
  </si>
  <si>
    <t>Promedio de cumplimiento Programadas 1 trimestre</t>
  </si>
  <si>
    <t>CUMPLIMIENTO DEL POAI  1TRIMESTRE</t>
  </si>
  <si>
    <t>CUMPLIMIENTO DEL POAI  2TRIMESTRE</t>
  </si>
  <si>
    <t>CUMPLIMIENTO DEL POAI  3TRIMESTRE</t>
  </si>
  <si>
    <t>CUMPLIMIENTO DEL POAI  4TRIMESTRE</t>
  </si>
  <si>
    <t>Promedio de cumplimiento Programadas2 trimestre</t>
  </si>
  <si>
    <t xml:space="preserve">Promedio de cumplimiento Programadas </t>
  </si>
  <si>
    <t>Promedio de cumplimiento Programadas 3 trimestre</t>
  </si>
  <si>
    <t>Promedio de cumplimiento Programadas 4 trimestre</t>
  </si>
  <si>
    <t>TOTAL EJECUTADAS 1 TRIMESTRE</t>
  </si>
  <si>
    <t>% PORCENTAJE DE CUMPLIMIENTO</t>
  </si>
  <si>
    <t>RECURSOS INICIALES ASIGNADOS</t>
  </si>
  <si>
    <t>RECURSOS EJECUTADOS  1 TRIMESTRES</t>
  </si>
  <si>
    <t xml:space="preserve">NUMERO </t>
  </si>
  <si>
    <t>PORCENTAJE</t>
  </si>
  <si>
    <t>LINEA DEL PLAN</t>
  </si>
  <si>
    <t xml:space="preserve"> Dirección estratégica para una gestión con responsabilidad</t>
  </si>
  <si>
    <t>Gestión integral del talento humano que trabaja con amor por la vida</t>
  </si>
  <si>
    <t>Medio ambiente sano y seguro, dejando huella para la vida</t>
  </si>
  <si>
    <t>Innovación, ciencia e investigación para la vida</t>
  </si>
  <si>
    <t>Compañía, amor y humanización al servicio de todos</t>
  </si>
  <si>
    <t>Enfoque de servicios por la vida</t>
  </si>
  <si>
    <t>Gestión asistencial humanizada y equitativa</t>
  </si>
  <si>
    <t>Gestión financiera y administrativa para el desarrollo sostenible</t>
  </si>
  <si>
    <t xml:space="preserve"> NUMERO TOTAL ACTIVIDADES  PROGRAMADAS  LINEA</t>
  </si>
  <si>
    <t>NUMERO DE ACTIVIDADES PROYECTADAS 1 TRIMESTRE</t>
  </si>
  <si>
    <t>Modificaciones (Adicion, Reduccion)</t>
  </si>
  <si>
    <t>GESTION INTEGRAL DEL RIESGO, ENFERMEDADES DE TRANSMISION SEXUAL, EMBARAZO EN ADOLESCENTES Y VIOLENCIAS SEXUALES</t>
  </si>
  <si>
    <t>8002100-3</t>
  </si>
  <si>
    <t>8002100-8</t>
  </si>
  <si>
    <t>PROGRAMA ESPECIAL TB Y LEPRA</t>
  </si>
  <si>
    <t>PAGO VIGENCIAS ANTERIORES</t>
  </si>
  <si>
    <t>construccion, remodelacion y adecuacion</t>
  </si>
  <si>
    <t>ADICIONES</t>
  </si>
  <si>
    <t>TOTAL SEMESTRE</t>
  </si>
  <si>
    <t>% DE EJECUCIÓN</t>
  </si>
  <si>
    <t>RESUMEN DE EJECUCIÓN  FIANCIERA DEL POAI 2021 DE LA ESE HOSPITAL LA MARÍA</t>
  </si>
  <si>
    <t xml:space="preserve">TERCER TRIMESTRE </t>
  </si>
  <si>
    <t>CAMBIIO DE % A NUMERO</t>
  </si>
  <si>
    <t>NUMERO-NUMERO</t>
  </si>
  <si>
    <t>CUMPLIDOS</t>
  </si>
  <si>
    <t xml:space="preserve"> Cantidad Programada Año 2022</t>
  </si>
  <si>
    <t>Meta de la Vigencia 2022</t>
  </si>
  <si>
    <t xml:space="preserve">Oportunidad en la entrega de resultados de laboratorio al Servicio de Urgencias </t>
  </si>
  <si>
    <t>PLAN OPERATIVO ANUAL DE INVERSIONES 2022</t>
  </si>
  <si>
    <t xml:space="preserve">Actualizar y adoptar el  manual de funciones acorde a lka estructura funcional </t>
  </si>
  <si>
    <t xml:space="preserve">continuar con  el estudio de la estrutura y  presentarlo para  aprobación en la junta directiva </t>
  </si>
  <si>
    <t>Continuar la socialización del Plan de Desarrollo a las diferentes áreas y profesionales de la Institución.</t>
  </si>
  <si>
    <t>Documentación de los procesos bajo el  Sistema de Gestión de la calidad y gestión de riesgo.</t>
  </si>
  <si>
    <t>Documentación de procesos segun los requerimientos del sistema unico de habilitación y del mapa de procesos.</t>
  </si>
  <si>
    <t>Socialización y sensibilziación de los procesos documentados   al lider y responsables del servicio</t>
  </si>
  <si>
    <t>Auditoria y/o informe de  la verificación de la implementación de los procesos documentados</t>
  </si>
  <si>
    <t xml:space="preserve"> someter a aprobación el manual de contratación actualizado</t>
  </si>
  <si>
    <t>Asegurar la validación de las oredes de compra en el comité de compras y/o comité de contratación</t>
  </si>
  <si>
    <t>Asegurar la funcionalidad de la contratación de los servicios de interdependecia (alimentación, lavanderia, vigilancia, servicios  generales) y otros servicios de apoyo ( mensajeria, combustible y recolección de residuos, personal administrativo contratado a través de las asociaciones sindicales)</t>
  </si>
  <si>
    <t>desarrollar la actividades contenidas en los planes de mejoramiento relacionados con la infraestrutura la dotación intrahospitalaria, los servicios de interdependencia y de apoyoñ</t>
  </si>
  <si>
    <t>Radicar el plan de matenimiento hospitalario en la SSSA</t>
  </si>
  <si>
    <t>Asegurar el cumplimiento de las actividades programadas en el plan de matenimietno( ver cronograma)</t>
  </si>
  <si>
    <t>Reporte oportuno de los informes a la supersalud ( archivo plano con la evidencia del cargue)</t>
  </si>
  <si>
    <t xml:space="preserve">Reporte oportuno de los informes al Ministerio de Salud resolución 2193 de 2004 ( archivo plano con la evidencia del cargue)
</t>
  </si>
  <si>
    <t>Realizar informes  de seguimiento  ejecución  de los proyectos en cursos.</t>
  </si>
  <si>
    <t xml:space="preserve">Poner en marcha los planes de mejoramiento para el impacto en la oportunidad en la atención y en la seguridad del paciente </t>
  </si>
  <si>
    <t>continuar con el seguimiento  mensual de la metas propuestas en el plan</t>
  </si>
  <si>
    <t>o</t>
  </si>
  <si>
    <t>Garantizar una atención  oportuna a lo pacienntes que requiere terapia de remplazo renal ambulatoria y hospitalaria</t>
  </si>
  <si>
    <t>controlar y disminuir la insidencia de infeciones en cateter de hemodialisis, cateter de dialisis peritoneal y fistula arteriovenosa</t>
  </si>
  <si>
    <t>procentaje</t>
  </si>
  <si>
    <t>Documentar los protocolos  y guias  para la   atención del servicio de  dialisis peritoneal.</t>
  </si>
  <si>
    <t xml:space="preserve">Actualizar los protocolos y guias del servicio de hemodialis </t>
  </si>
  <si>
    <t>Realizar reentrenamiento del personal del servicio de hemodialisis</t>
  </si>
  <si>
    <t>Realizar encuesta de satifacción sobre la  calidad en la atención a los pacientes  del programa ambulatorio de hemodialisis y dialisis peritoneal.</t>
  </si>
  <si>
    <t>Realizar cronograma de transferencias documentales.</t>
  </si>
  <si>
    <t>Realizar el seguimiento al Plan institucional de archivos- PINAR</t>
  </si>
  <si>
    <t>Actualizar  y publicar el programa de gestión documental</t>
  </si>
  <si>
    <t>Realizar el manual de correspondiente ( acuerdo 060 de 2001)</t>
  </si>
  <si>
    <t>1.Realizar transferencias de conocimientos al personal asistencial enfocadas en la atención con enfoque diferencial. (lenguaje de señas, personas en condiciones de discapacidad, población indígena, etc.)</t>
  </si>
  <si>
    <t xml:space="preserve">Creación de contenido audiovisual para redes sociales (facebook, instagram, Twitter) sobre información general de la institución.  </t>
  </si>
  <si>
    <t>Creación de un boletín interno, el cual tendrá noticias destacadas de lo que pasa en la institución. Este será difundido por los correos electrónicos y grupos de WhasApp.</t>
  </si>
  <si>
    <t>Realizar capacitaciones al personal asistencial dirigidas en la atención con enfoque  diferencial. (lenguaje de señas, personas en condiciones de discapacidad, población indígena, etc.)</t>
  </si>
  <si>
    <t>Socialización de la carta del trato digno donde se encuentran los derechos y deberes de los usuarios, a los empleados de la E.S.E Hospital La María. (atención al usuario).</t>
  </si>
  <si>
    <t xml:space="preserve">Realizar talleres sobre temas de acceso y derecho a la salud y trato digno con algunos representantes de la comunidad (Asociación de usuarios ESE Hospital y Comité de ética). </t>
  </si>
  <si>
    <t xml:space="preserve">Acompañamiento a los diferentes espacios de participación de la ESE Hospital La María (Asociación de Usuarios y Comité de ética) </t>
  </si>
  <si>
    <t xml:space="preserve">Socialización de la carta del trato digno donde se encuentran los derechos y deberes de los usuarios, a los usuarios de la E.S.E Hospital La María. </t>
  </si>
  <si>
    <t xml:space="preserve"> Medir la percepción de los usuarios frente al servicio prestado en los servicios de consulta externa y hospitalización</t>
  </si>
  <si>
    <t xml:space="preserve">Realizar la actualización del PGIRASA, de acuerdo a las necesidades que se presenten en la E.S.E. y a la normatividad vigente </t>
  </si>
  <si>
    <t>Actualización del Plan de Gestión de
Residuos Generados en la atención
Salud y otras actividades PGIRASA</t>
  </si>
  <si>
    <t xml:space="preserve">Ejecutar el PGIRASA en la E.S.E. </t>
  </si>
  <si>
    <t>Seguimiento del Plan MES en la institución</t>
  </si>
  <si>
    <t xml:space="preserve">Capacitaciones para la educación y concientización del consumo del agua </t>
  </si>
  <si>
    <t xml:space="preserve">Capacitaciones para la educación y concientización del consumo de la energía y la luz natural </t>
  </si>
  <si>
    <t xml:space="preserve">Realizar procedimiento de reinducción de la E.S.E Hospital La María </t>
  </si>
  <si>
    <t>Realizar medición de clima organizacional en la E.S.E Hospital La María.</t>
  </si>
  <si>
    <t>Medir la ejecución del cronograma del plan de Bienestar Social e Incentivos.</t>
  </si>
  <si>
    <t>Medir la ejecución del cronograma del plan de Formación y Capacitaciones.</t>
  </si>
  <si>
    <t>Realizar seguimiento a los novedades que se presentan durante la anualidad al Plan de Vacantes Institucional.</t>
  </si>
  <si>
    <t>Seguimiento a la ejecución del plan evaluación del desempeño.</t>
  </si>
  <si>
    <t>Seguimiento a la ejecución del cronograma a las capacitaciones del personal prejubilable</t>
  </si>
  <si>
    <t>Medir el indicador de rotación del personal.</t>
  </si>
  <si>
    <t xml:space="preserve">formular y aprobación Política de Gestión del Conocimiento </t>
  </si>
  <si>
    <t>Facturacion de egresos dentro las 72 horas de la salida del paciente</t>
  </si>
  <si>
    <t>Realizar Auditoria de los egresos sin facturar</t>
  </si>
  <si>
    <t xml:space="preserve">Elaborar conciliaciones de la informacion entre las areas  de contabilidad,tesoreria y presupuesto. </t>
  </si>
  <si>
    <t>Realizar un seguimiento  periodico de los ingresos  VS  los gastos</t>
  </si>
  <si>
    <t>Realizar monitoreo de centros de costos</t>
  </si>
  <si>
    <t>Asistir a la citas de conciliación programadas</t>
  </si>
  <si>
    <t>2.1.1.01.01.001</t>
  </si>
  <si>
    <t xml:space="preserve">2.1.1.01.01.001 2.1.2.02.02.008.802 2.1.2.02.02.008.803 </t>
  </si>
  <si>
    <t>2.1.2.02.02.008.803</t>
  </si>
  <si>
    <t xml:space="preserve">2.1.2.02.02.008.803  2.1.2.02.02.009.901 2.1.1.01.01.001 </t>
  </si>
  <si>
    <t>2.1.2.02.02.006.604.64119 2.1.2.02.02.006.608.68030 2.1.2.02.02.008.802.82199 2.1.2.02.01.003.003.33370 2.1.2.02.02.006.608.68021 2.1.2.02.02.008.805.85330 2.1.2.02.02.008.805.85250 2.1.2.02.01.003.010 2.1.2.02.02.005.504.54790 2.1.2.02.02.008.807.87154 2.1.2.02.02.008.807.87156 2.1.2.02.02.009.907.97130 2.1.2.02.02.008.807.87157 2.1.2.02.02.008.807.87159 2.1.2.02.01.003.002.32193 2.1.2.02.01.003.006.3641 2.1.2.02.02.008.807.87152 2.1.1.01.01.001  2.1.2.02.02.009.901</t>
  </si>
  <si>
    <t>2.3.2.02.02.009</t>
  </si>
  <si>
    <t>2.1.2.02.02.008.803.83990 2.1.2.02.02.008.803.83611 2.1.2.02.02.008.803.83151 2.1.2.02.02.006.603.63391 2.1.1.01.01.001  2.1.2.02.02.009.901</t>
  </si>
  <si>
    <t>2.1.2.02.02.009.903 2.1.2.02.02.009.904</t>
  </si>
  <si>
    <t xml:space="preserve">2.1.2.02.02.006.608 </t>
  </si>
  <si>
    <t>2.1.2.02.02.008.809 2.1.2.02.02.008.803 2.1.2.02.01.003.010 2.1.2.02.02.008.807.87130</t>
  </si>
  <si>
    <t>2.4.5.01.03 2.1.2.02.02.009.903 2.1.2.02.02.009.905 2.1.2.02.02.008.805 2.1.2.02.02.007.703 2.1.2.02.02.008.803 2.1.2.02.01.004.008 2.1.1.01.01.001</t>
  </si>
  <si>
    <t>CONSOLIDADO POAI 2022</t>
  </si>
  <si>
    <t xml:space="preserve">LINEA </t>
  </si>
  <si>
    <t>COMPONENTE</t>
  </si>
  <si>
    <t>VALOR</t>
  </si>
  <si>
    <t>TOTAL LINEA</t>
  </si>
  <si>
    <t>% SOBRE TOTAL DE LA LINEA</t>
  </si>
  <si>
    <t xml:space="preserve">% LINEA SOBRE TOTAL PRESUPUESTO </t>
  </si>
  <si>
    <t>Componente 2:ADMINISTRACIÓN CON CALIDAD, TRANSPARENCIA Y EFICIENCIA PARA TODOS</t>
  </si>
  <si>
    <t>Componente 2:Componente 2: administración con calidad, transparencia y eficiencia para todos</t>
  </si>
  <si>
    <t>Componente 2 :Integración y alianzas para el mejoramiento en la accesibilidad y en la oportunidad en los
servicios.</t>
  </si>
  <si>
    <t>Componente 2: Memoria institucional</t>
  </si>
  <si>
    <t>Componente 3: Tecnología biomédica segura para la vida</t>
  </si>
  <si>
    <t xml:space="preserve">Componente 4: Tecnología segura para el desarrollo de la ESE </t>
  </si>
  <si>
    <t>LÍNEA 7: MEDIO AMBIENTE SANO Y SEGURO, DEJANDO HUELLA PARA LA VIDA</t>
  </si>
  <si>
    <t>COMPONENTE 1:
ALINEACIÓN
ECOLÓGICA CON
RESPONSABILIDAD
SOCIAL</t>
  </si>
  <si>
    <t>OBJETIVO GENERAL
Fortalecer la planeación y gestión de seguridad y salud en el trabajo, medio ambiente e infraestructura, a través,
del desarrollo de los componentes estratégicos, temáticos y medibles.</t>
  </si>
  <si>
    <t>línea 7: medio ambiente sano y seguro, dejando huella para la vida</t>
  </si>
  <si>
    <t>Componente 1:Alineación ecológica con responsabilidad social</t>
  </si>
  <si>
    <t>Componente 1: : Ingreso y desarrollo del talento humano</t>
  </si>
  <si>
    <t>Componente 2: Desarrollo del talento humano</t>
  </si>
  <si>
    <t>TOTAL</t>
  </si>
  <si>
    <t>Numero de actividades programadas medidad en  numero</t>
  </si>
  <si>
    <t>Numero de actividades programadas medidas en porcentaje</t>
  </si>
  <si>
    <t>1xcv</t>
  </si>
  <si>
    <t>Realizar la autoveluación  de los requisitos SUH,.</t>
  </si>
  <si>
    <t>Formular el plan de trabajo según el resultado de la autoevalución para iniciar el proceso de implementación para la habilitación deñ servicio</t>
  </si>
  <si>
    <t>Formular el plan de trabajo según el resultado de la autoevalución para iniciar el proceso de implementación para la habilitación del servicio de quimioterapia.</t>
  </si>
  <si>
    <t>Solicitud de visita previa  para la habilitación del servicio de quimioterapia.</t>
  </si>
  <si>
    <t>Contar con infraestructura adecuada para prestacion del servicio de quimioterapia.</t>
  </si>
  <si>
    <t>Dotar  con  los equipos biomedicos  y moviliarios  adecuada para prestacion del servicio de quimioterapia.</t>
  </si>
  <si>
    <t xml:space="preserve">Realizar la autoveluación  de los requisitos SUH, </t>
  </si>
  <si>
    <t>Formular el plan de trabajo según el resultado de la autoevalución para iniciar el proceso de implementación para la habilitación del servicio .</t>
  </si>
  <si>
    <t>Adoptar la nueva guia de practica clinica expedida por el ministerio de salud "Guía de Práctica Clínica (GPC) basada en la evidencia científica para la atención de la infección por VIH/SIDA en personas adultas, gestantes y adolescentes"</t>
  </si>
  <si>
    <t>Formular y documentar el instrumento para medir la adherencia Guía de "Práctica Clínica (GPC) basada en la evidencia científica para la atención de la infección por VIH/SIDA en personas adultas, gestantes y adolescentes"</t>
  </si>
  <si>
    <t>Aplicación del instrumento para medir la adherencia a la Guía de "Práctica Clínica (GPC) basada en la evidencia científica para la atención de la infección por VIH/SIDA en personas adultas, gestantes y adolescentes"</t>
  </si>
  <si>
    <t>Definir la ficha tecnica del indicador.</t>
  </si>
  <si>
    <t>Realizar la medición mensual del la oportunidad en la realización de la apendicectomia.</t>
  </si>
  <si>
    <t xml:space="preserve">Realizar la medición mensual del la oportunidad en la realización dentrega de resultados de laboratorio al Servicio de Urgencias </t>
  </si>
  <si>
    <t>Realizar la medición mensual del la oportunidad en la atención del paciente clasificado como Triage II</t>
  </si>
  <si>
    <t>Realizar la medición mensual del tiempo pormedio de espera para la
asignación de citas de ortopedia</t>
  </si>
  <si>
    <t>Realizar la medición mensual Tiempo promedio de espera para la
asignación de citas de Urología</t>
  </si>
  <si>
    <t>Realizar la medición mensual del Tiempo promedio de espera para la
asignación de citas de cirugía</t>
  </si>
  <si>
    <t>Realizar la medición mensual del Tiempo promedio de espera para la
asignación de citas de medicina
interna</t>
  </si>
  <si>
    <t>Realizar la medición de la oportunidad en la entrega de resultados a Hospitalización</t>
  </si>
  <si>
    <t>Realizar la medición mensual de los Análisis de Mortalidad Intrahospitalaria</t>
  </si>
  <si>
    <t>Realizar la medición mensual del Índice de infecciones intrahospitalarias</t>
  </si>
  <si>
    <t>Poner en marcha el programa para la atención PPL, según contratación</t>
  </si>
  <si>
    <t>Evaluar la rentabilidad  financiera mensual del programa para la atención PPL.</t>
  </si>
  <si>
    <t>Evaluar la rentabilidad  financiera mensual del programa para la atención de los pacientes de la EAPB Coosalud.</t>
  </si>
  <si>
    <t>Evaluar la rentabilidad  financiera mensual de los proyectos especiales ( TBC, lepra, ETS, enterritorio….)</t>
  </si>
  <si>
    <t>Poner en marcha la RIA de VIH con la EAPB Savia Salud</t>
  </si>
  <si>
    <t>poner en marcha la plataforma para la prestación de servicios en modalidad de telemedicina</t>
  </si>
  <si>
    <t>Realizar seguimiento al mejoramiento en la oportunidad de la prestación del servicio de referencia y contrareferencia.</t>
  </si>
  <si>
    <t>Gestionar la entrega de las ambulancias solicitadas a través del proyecto presentado a la SSSA, con el fin de continuar mejorando los tiempos de respuesta en la regulación de pacientes.</t>
  </si>
  <si>
    <t>Formular el convenio para la adquisición de la plataforma para prestar servicios en la modalidad de telemedicina.</t>
  </si>
  <si>
    <t>Eficiencia en el cumplimiento con el diligenciamiento  del inventario documental en los archivos de gestión</t>
  </si>
  <si>
    <t>Capacitaciones al personal en: Reglamento Interno de Archivo- Archivos de Gestión- Ventanilla Única</t>
  </si>
  <si>
    <t>Actualizar las tablas de rotación documental y cuadro de clasificación documental</t>
  </si>
  <si>
    <t>Realizar  la tablas de valoración documental.</t>
  </si>
  <si>
    <t>Implementar la política de cero papel en la ESE</t>
  </si>
  <si>
    <t>Actualización al diagnóstico de tecnología de equipos biomédicos partiendo de la matriz de evaluación tecnológica.</t>
  </si>
  <si>
    <t xml:space="preserve">Realizar estudio de mercado de tecnología biomédica para la adquisición. </t>
  </si>
  <si>
    <t xml:space="preserve">Mantenimiento preventivo equipos Biomedicos </t>
  </si>
  <si>
    <t xml:space="preserve">Control de tiempos de ejecución de mantenimiento correctivo </t>
  </si>
  <si>
    <t>días</t>
  </si>
  <si>
    <t xml:space="preserve">Calibración de equipos Biomedicos </t>
  </si>
  <si>
    <t>Actualizar la estructura del sistema de información en el manejo de la HC - como registro de enfermería, mediante el levantamiento de requerimientos y posterior desarrollo que debe ser implementado en su totalidad.</t>
  </si>
  <si>
    <t>Realizar actividades de supervisión que aporten al crecimiento y continuidad de la plataforma de transferencia de conocimiento</t>
  </si>
  <si>
    <t>Seguimiento y control a las aplicaciones que se encuentran instaladas en los equipos de computo de la ESE Hospital la María</t>
  </si>
  <si>
    <t>Expansión de servicios digitales en la nube, para facilitar operaciones dentro de la entidad ( Correo -  Cloud Backup)</t>
  </si>
  <si>
    <t>Realizar actividades de sensibilización  al publico externo sobre temas de salud con enfoque diferencial, por medio de los canales institucionales (redes sociales, carteleras, descansa pantallas, correos electrónicos)</t>
  </si>
  <si>
    <t xml:space="preserve">Realizar piezas gráficas que sensibilicen al personal y comunidad  sobre el trato digno a la población vulnerable que serán difundidas por los diferentes medios de comunicación institucionales. </t>
  </si>
  <si>
    <t>Realizar un informe del análisis de los canales  de distribución de los segmentos de clientes específicos</t>
  </si>
  <si>
    <t xml:space="preserve">Realizar capacitaciones sobre temáticas de acceso y derecho a la salud y trato digno con algunos representantes de la comunidad (Asociación de usuarios ESE Hospital y Comité de ética). </t>
  </si>
  <si>
    <t>Socializar con la comunidad del debido procedimiento que tiene una PQRSD dentro de la institución. (rondas educativas, piezas gráficas).</t>
  </si>
  <si>
    <t xml:space="preserve"> Brindar asesoría y orientación a los usuarios que tienen dificultades con el acceso a la salud.</t>
  </si>
  <si>
    <t>Realizar comités de ética en los cuales se encuentran algunos representantes de la comunidad.</t>
  </si>
  <si>
    <t xml:space="preserve">Brindar asesoría y orientación a los usuarios que tienen dificultades con el acceso a la salud. </t>
  </si>
  <si>
    <t>Realizar la autoevaluación de los estándares de acreditación - PAMEC</t>
  </si>
  <si>
    <t>Evidenciar la ejecución de las oportunidades de mejora priorizadas  en el ciclo.</t>
  </si>
  <si>
    <t>Realizar el contrato de tratamiento de los parámetros que no cumplen con la norma de las Aguas Residuales No Domesticas( ARnD) con EPM</t>
  </si>
  <si>
    <t>Implementación del Plan MES en la E.S.E, de acuerdo a la aprobación del documento enviado al Área Metropolitana del  Valle de Aburrá</t>
  </si>
  <si>
    <t>Descansa pantallas sobre el uso adecuado del agua</t>
  </si>
  <si>
    <t>Descansa pantallas sobre el uso adecuado de la energía</t>
  </si>
  <si>
    <t xml:space="preserve">Realizar el procedimiento de inducción al personal que ingresa a la E.S.E Hospital La María, independientemente de su modalidad de contratación.                         </t>
  </si>
  <si>
    <t>Realizar la evaluación anual de los estándares mínimos al SG-SST.</t>
  </si>
  <si>
    <t xml:space="preserve">Seguimiento a la ejecución del Plan Estratégico de la gestión del Talento Humano </t>
  </si>
  <si>
    <t>2.3.2.02.02.009 2.1.2.02.02.007.703 2.1.2.02.02.008.803</t>
  </si>
  <si>
    <t>Realizar la autoveluación  de los requisitos Sistema Unico de Habilitacion, para el servicio de quimioterapia.</t>
  </si>
  <si>
    <t>Evaluación de aplicación de
guía de manejo de la primera
causa de egreso hospitalario o de
morbilidad atendida</t>
  </si>
  <si>
    <t xml:space="preserve">realizar acuerdos o uniones temporales para la conformacion de la rted departamental </t>
  </si>
  <si>
    <t>LÍNEA 1: Dirección estratégica para una gestión con responsabilidad</t>
  </si>
  <si>
    <t>INDICADOR</t>
  </si>
  <si>
    <t>OBJETIVO</t>
  </si>
  <si>
    <t>ACTIVIDAD</t>
  </si>
  <si>
    <t>Institución solida</t>
  </si>
  <si>
    <t xml:space="preserve">Comprometidos con el mejoramiento continuo </t>
  </si>
  <si>
    <t>Seguimiento estratégico para la toma de decisiones</t>
  </si>
  <si>
    <t>Lograr el cumplimiento de las metas trazadas en el Plan de Desarrollo Institucional</t>
  </si>
  <si>
    <t>TOTAL LÍNEA:</t>
  </si>
  <si>
    <t>LÍNEA: 3 Gestión asistencial humanizada y equitativa</t>
  </si>
  <si>
    <t xml:space="preserve"> Hospital Líder en la atención de las patologías con mayor impacto en la salud pública,
comprometidos con la excelencia en la atención</t>
  </si>
  <si>
    <t>:Integración y alianzas para el mejoramiento en la accesibilidad y en la oportunidad en los
servicios.</t>
  </si>
  <si>
    <t>LÍNEA2: Gestión financiera y administrativa para el desarrollo sostenible</t>
  </si>
  <si>
    <t>Equilibrio y sostenibilidad con rentabilidad social y financiera</t>
  </si>
  <si>
    <t>Administración con calidad, transparencia y eficiencia para todos</t>
  </si>
  <si>
    <t>LÍNEA 4: Enfoque de servicios por la vida</t>
  </si>
  <si>
    <t>Modelo de atención integral centrado en el trato digno</t>
  </si>
  <si>
    <t>Memoria institucional</t>
  </si>
  <si>
    <t xml:space="preserve">Hacer la Identificación  del proveedor para Plataforma de Gestión Documental </t>
  </si>
  <si>
    <t>Tecnología biomédica segura para la vida</t>
  </si>
  <si>
    <t xml:space="preserve">Tecnología segura para el desarrollo de la ESE </t>
  </si>
  <si>
    <t>LÍNEA 5: Compañía, amor y humanización al servicio de todos</t>
  </si>
  <si>
    <t>Comunicación para el cambio y desarrollo social</t>
  </si>
  <si>
    <t>Atención y cuidado al usuario</t>
  </si>
  <si>
    <t>LÍNEA 6: Innovación, ciencia e investigación para la vida</t>
  </si>
  <si>
    <t>Investigación con sentido de vida y responsabilidad social</t>
  </si>
  <si>
    <t>Investigación para la formación de competencias y desarrollo profesional en salud.</t>
  </si>
  <si>
    <t>LÍNEA 7: Medio ambiente sano y seguro, dejando huella para la vida</t>
  </si>
  <si>
    <t xml:space="preserve"> Alineación ecológica con responsabilidad social</t>
  </si>
  <si>
    <t>Definir el proceso de gestión ambiental y articularlo con las diferentes áreas de la institución, a través, de mecanismos y estrategias que permitan el desarrollo de los procesos medio ambientales y la normatividad legal vigente.</t>
  </si>
  <si>
    <t>LÍNEA 8: Gestión integral del talento humano que trabaja con amor por la vida</t>
  </si>
  <si>
    <t>Ingreso y desarrollo del talento humano</t>
  </si>
  <si>
    <t xml:space="preserve"> Desarrollo del talento humano</t>
  </si>
  <si>
    <t xml:space="preserve">Mejoramiento de la productividad y la satisfacción del empleado con su trabajo y con la Institución a través de la capacitación, el bienestar, los incentivos, la seguridad y salud en el trabajo </t>
  </si>
  <si>
    <t xml:space="preserve"> Retiro del talento humano</t>
  </si>
  <si>
    <t>LINEA</t>
  </si>
  <si>
    <t xml:space="preserve">continuar con  el estudio de la estrutura y  presentarlo para  aprobación en la junta directiva  </t>
  </si>
  <si>
    <t xml:space="preserve">Socialización y sensibilziación de los procesos documentados   al lider y responsables del servicio </t>
  </si>
  <si>
    <t>PLAN OPERATIVO ANUAL DE INVERSIONES 2022
ESE HOSPITAL LA MARÍA</t>
  </si>
  <si>
    <t>Asegurar el pago oportuno de los servicios publicos para la continuidad en la prestación de los servicios</t>
  </si>
  <si>
    <t>+</t>
  </si>
  <si>
    <t>|</t>
  </si>
  <si>
    <t>Actualizar el documento del modelo de atención de la ESE Hospital La María</t>
  </si>
  <si>
    <t>Actualizar el documento del modelo de atención de la ESE Hospital La Maríaa</t>
  </si>
  <si>
    <t xml:space="preserve">Acompañamiento a los diferentes espacios de participación de la ESE Hospital La María (Asociación de Usuarios y Comité de ética)  </t>
  </si>
  <si>
    <t xml:space="preserve">Realizar el procedimiento de inducción al personal que ingresa a la E.S.E Hospital La María, independientemente de su modalidad de contratación.   </t>
  </si>
  <si>
    <t>Medir la ejecución del cronograma del plan de Bienestar Social e Incentivos</t>
  </si>
  <si>
    <t>Dirección estratégica para una gestión con responsabilidad</t>
  </si>
  <si>
    <t>Capacitación al talento humano sobre la atención intercultural</t>
  </si>
  <si>
    <t>Apoyar  las brigadas y las actividades de la SSSA en territorios alejados.</t>
  </si>
  <si>
    <t>Participación en eventos cientificos( congresos, foros y similares)</t>
  </si>
  <si>
    <t>Certificado de conferencista o de participante</t>
  </si>
  <si>
    <t xml:space="preserve">DECRIPCIÓN </t>
  </si>
  <si>
    <t>VALOR TOTAL</t>
  </si>
  <si>
    <t xml:space="preserve">DESGLOSE </t>
  </si>
  <si>
    <t>Farmacia</t>
  </si>
  <si>
    <t>Recurso humano de finaciera, tesoreria, contabilidad, presupuesto, facturación, cartera, glosas, auditorias</t>
  </si>
  <si>
    <t>Mantenimiento de infraestructura, equipos biomedicos, ascensores, aires acondicionados, entre otros mantenimientos, recurso humano administrativo, conductores, vigilancia, contratación de equipo juridico, compra de insumos, lavanderia, mensajeria,conductores,lavanderia,alimentación, servicios generales,alimentación. combustible, adecuaciones,entre otros</t>
  </si>
  <si>
    <t>contratación de servicios medicos especializados, servicios de laboratorio,Servicios de bancos de sangre, órganos y esperma, Servicios proporcionados por organizaciones gremiales, comerciales y de empleadores,Servicios quirúrgicos a pacientes hospitalizados,Servicios de alojamiento de sitios web (hosting),Servicios de centros de llamadas telefónicas (call center),Instrumentos, aparatos y accesorios para medicina y cirugía</t>
  </si>
  <si>
    <t>Recurso humano de enfermeria</t>
  </si>
  <si>
    <t>Unidad Renal</t>
  </si>
  <si>
    <t>INPEC</t>
  </si>
  <si>
    <t>Enterritorio</t>
  </si>
  <si>
    <t>Servicios para la comunidad, sociales y personales</t>
  </si>
  <si>
    <t xml:space="preserve"> Proyecto de VIH </t>
  </si>
  <si>
    <t xml:space="preserve"> </t>
  </si>
  <si>
    <t xml:space="preserve">capacitacion  en aplicación TRD e incluye tema sobre realizacion de inventarios documentales, Transferencias documentales, politica cero papel, </t>
  </si>
  <si>
    <t>GESTION DOCUMENTAL</t>
  </si>
  <si>
    <t>MARIA CONSUELO MORALES MUÑOZ</t>
  </si>
  <si>
    <t>se cuenta con plataforma PAPERLESS OFFICE No contrato  PS 0143-2022</t>
  </si>
  <si>
    <t xml:space="preserve">Se envia correos electronicos al area de calidad, almacen y se brinda capacitacion  en aplicación TRD e incluye tema sobre acuerdo 060 de 2001, Transferencias documentales, politica cero papel, </t>
  </si>
  <si>
    <t>se capacita en normatividad archivistica y se realiza el SIC y esta en proceso de adopcion</t>
  </si>
  <si>
    <t>se realiza la politica de cero papel es aprobada por el comité de gestion y desempeño.  Se brinda capacitacion de politica de cero papel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</si>
</sst>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240A]\ * #,##0_-;\-[$$-240A]\ * #,##0_-;_-[$$-240A]\ * &quot;-&quot;??_-;_-@_-"/>
    <numFmt numFmtId="165" formatCode="_-* #,##0.00_-;\-* #,##0.00_-;_-* &quot;-&quot;_-;_-@_-"/>
    <numFmt numFmtId="166" formatCode="_-&quot;$&quot;\ * #,##0_-;\-&quot;$&quot;\ * #,##0_-;_-&quot;$&quot;\ * &quot;-&quot;??_-;_-@_-"/>
    <numFmt numFmtId="167" formatCode="_-&quot;$&quot;\ * #,##0_-;\-&quot;$&quot;\ * #,##0_-;_-&quot;$&quot;\ * &quot;-&quot;?_-;_-@_-"/>
    <numFmt numFmtId="168" formatCode="0.0"/>
  </numFmts>
  <fonts count="44">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Arial"/>
      <family val="2"/>
    </font>
    <font>
      <sz val="11"/>
      <color theme="1"/>
      <name val="Arial"/>
      <family val="2"/>
    </font>
    <font>
      <b/>
      <sz val="11"/>
      <color rgb="FF000000"/>
      <name val="Arial"/>
      <family val="2"/>
    </font>
    <font>
      <b/>
      <sz val="14"/>
      <color theme="1"/>
      <name val="Arial"/>
      <family val="2"/>
    </font>
    <font>
      <b/>
      <sz val="12"/>
      <color theme="1"/>
      <name val="Arial"/>
      <family val="2"/>
    </font>
    <font>
      <b/>
      <sz val="11"/>
      <color theme="1"/>
      <name val="Arial"/>
      <family val="2"/>
    </font>
    <font>
      <sz val="11"/>
      <name val="Arial"/>
      <family val="2"/>
    </font>
    <font>
      <sz val="11"/>
      <color rgb="FF000000"/>
      <name val="Arial"/>
      <family val="2"/>
    </font>
    <font>
      <sz val="11"/>
      <name val="Arial"/>
      <family val="2"/>
    </font>
    <font>
      <sz val="11"/>
      <color theme="1"/>
      <name val="Arial"/>
      <family val="2"/>
    </font>
    <font>
      <sz val="11"/>
      <color theme="1"/>
      <name val="Calibri"/>
      <family val="2"/>
      <scheme val="minor"/>
    </font>
    <font>
      <b/>
      <sz val="11"/>
      <name val="Arial"/>
      <family val="2"/>
    </font>
    <font>
      <b/>
      <sz val="18"/>
      <color indexed="16"/>
      <name val="Arial"/>
      <family val="2"/>
    </font>
    <font>
      <sz val="11"/>
      <color theme="0"/>
      <name val="Calibri"/>
      <family val="2"/>
      <scheme val="minor"/>
    </font>
    <font>
      <b/>
      <sz val="11"/>
      <color rgb="FF000000"/>
      <name val="Calibri"/>
      <family val="2"/>
      <scheme val="minor"/>
    </font>
    <font>
      <sz val="11"/>
      <color rgb="FF000000"/>
      <name val="Calibri"/>
      <family val="2"/>
      <scheme val="minor"/>
    </font>
    <font>
      <sz val="12"/>
      <color rgb="FF000000"/>
      <name val="Arial"/>
      <family val="2"/>
    </font>
    <font>
      <b/>
      <sz val="12"/>
      <color rgb="FFFF0000"/>
      <name val="Arial"/>
      <family val="2"/>
    </font>
    <font>
      <b/>
      <sz val="12"/>
      <color rgb="FF000000"/>
      <name val="Arial"/>
      <family val="2"/>
    </font>
    <font>
      <b/>
      <sz val="20"/>
      <color theme="1"/>
      <name val="Arial"/>
      <family val="2"/>
    </font>
    <font>
      <u/>
      <sz val="11"/>
      <color theme="1"/>
      <name val="Arial"/>
      <family val="2"/>
    </font>
    <font>
      <sz val="9"/>
      <color indexed="81"/>
      <name val="Tahoma"/>
      <family val="2"/>
    </font>
    <font>
      <b/>
      <sz val="9"/>
      <color indexed="81"/>
      <name val="Tahoma"/>
      <family val="2"/>
    </font>
    <font>
      <sz val="11"/>
      <color theme="1"/>
      <name val="Calibri"/>
      <family val="2"/>
      <scheme val="minor"/>
    </font>
    <font>
      <sz val="11"/>
      <color rgb="FFFF0000"/>
      <name val="Arial"/>
      <family val="2"/>
    </font>
    <font>
      <b/>
      <sz val="11"/>
      <color theme="1"/>
      <name val="Calibri"/>
      <family val="2"/>
      <scheme val="minor"/>
    </font>
    <font>
      <sz val="8"/>
      <name val="Calibri"/>
      <family val="2"/>
      <scheme val="minor"/>
    </font>
    <font>
      <sz val="14"/>
      <color theme="1"/>
      <name val="Arial"/>
      <family val="2"/>
    </font>
    <font>
      <sz val="18"/>
      <color theme="1"/>
      <name val="Arial"/>
      <family val="2"/>
    </font>
    <font>
      <sz val="16"/>
      <color theme="1"/>
      <name val="Arial"/>
      <family val="2"/>
    </font>
    <font>
      <b/>
      <sz val="14"/>
      <color indexed="81"/>
      <name val="Tahoma"/>
      <family val="2"/>
    </font>
    <font>
      <sz val="14"/>
      <color indexed="81"/>
      <name val="Tahoma"/>
      <family val="2"/>
    </font>
    <font>
      <sz val="16"/>
      <color indexed="81"/>
      <name val="Tahoma"/>
      <family val="2"/>
    </font>
    <font>
      <b/>
      <sz val="12"/>
      <color theme="1"/>
      <name val="Calibri"/>
      <family val="2"/>
      <scheme val="minor"/>
    </font>
    <font>
      <sz val="12"/>
      <color theme="1"/>
      <name val="Calibri"/>
      <family val="2"/>
      <scheme val="minor"/>
    </font>
    <font>
      <sz val="11"/>
      <color theme="1"/>
      <name val="Calibri"/>
      <family val="2"/>
      <scheme val="minor"/>
    </font>
    <font>
      <sz val="9"/>
      <color rgb="FF000000"/>
      <name val="Tahoma"/>
      <family val="2"/>
    </font>
    <font>
      <sz val="12"/>
      <color rgb="FFFF0000"/>
      <name val="Arial"/>
      <family val="2"/>
    </font>
  </fonts>
  <fills count="29">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theme="4" tint="0.39985351115451523"/>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rgb="FF2F5496"/>
        <bgColor indexed="64"/>
      </patternFill>
    </fill>
    <fill>
      <patternFill patternType="solid">
        <fgColor theme="7" tint="0.39997558519241921"/>
        <bgColor indexed="64"/>
      </patternFill>
    </fill>
    <fill>
      <patternFill patternType="solid">
        <fgColor theme="4" tint="-0.249977111117893"/>
        <bgColor indexed="64"/>
      </patternFill>
    </fill>
    <fill>
      <patternFill patternType="solid">
        <fgColor theme="6" tint="0.79998168889431442"/>
        <bgColor indexed="64"/>
      </patternFill>
    </fill>
    <fill>
      <patternFill patternType="solid">
        <fgColor theme="6" tint="0.79998168889431442"/>
        <bgColor rgb="FF000000"/>
      </patternFill>
    </fill>
    <fill>
      <patternFill patternType="solid">
        <fgColor rgb="FF92D050"/>
        <bgColor indexed="64"/>
      </patternFill>
    </fill>
    <fill>
      <patternFill patternType="solid">
        <fgColor rgb="FF92D050"/>
        <bgColor rgb="FF000000"/>
      </patternFill>
    </fill>
    <fill>
      <patternFill patternType="solid">
        <fgColor rgb="FF00B0F0"/>
        <bgColor indexed="64"/>
      </patternFill>
    </fill>
    <fill>
      <patternFill patternType="solid">
        <fgColor rgb="FF00B0F0"/>
        <bgColor rgb="FF000000"/>
      </patternFill>
    </fill>
    <fill>
      <patternFill patternType="solid">
        <fgColor rgb="FF00B050"/>
        <bgColor rgb="FF000000"/>
      </patternFill>
    </fill>
    <fill>
      <patternFill patternType="solid">
        <fgColor theme="7" tint="0.79998168889431442"/>
        <bgColor indexed="64"/>
      </patternFill>
    </fill>
    <fill>
      <patternFill patternType="solid">
        <fgColor theme="8" tint="0.39997558519241921"/>
        <bgColor indexed="64"/>
      </patternFill>
    </fill>
    <fill>
      <patternFill patternType="solid">
        <fgColor rgb="FFFFC000"/>
        <bgColor indexed="64"/>
      </patternFill>
    </fill>
    <fill>
      <patternFill patternType="solid">
        <fgColor theme="8" tint="0.79998168889431442"/>
        <bgColor indexed="64"/>
      </patternFill>
    </fill>
    <fill>
      <patternFill patternType="solid">
        <fgColor theme="2"/>
        <bgColor indexed="64"/>
      </patternFill>
    </fill>
    <fill>
      <patternFill patternType="solid">
        <fgColor theme="4"/>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4" tint="-0.249977111117893"/>
        <bgColor rgb="FF000000"/>
      </patternFill>
    </fill>
  </fills>
  <borders count="6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diagonal/>
    </border>
    <border>
      <left style="thin">
        <color auto="1"/>
      </left>
      <right style="medium">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medium">
        <color auto="1"/>
      </right>
      <top/>
      <bottom style="medium">
        <color auto="1"/>
      </bottom>
      <diagonal/>
    </border>
    <border>
      <left style="thin">
        <color auto="1"/>
      </left>
      <right style="thin">
        <color auto="1"/>
      </right>
      <top/>
      <bottom/>
      <diagonal/>
    </border>
    <border>
      <left style="thin">
        <color auto="1"/>
      </left>
      <right/>
      <top style="thin">
        <color auto="1"/>
      </top>
      <bottom/>
      <diagonal/>
    </border>
    <border>
      <left style="medium">
        <color auto="1"/>
      </left>
      <right style="thin">
        <color auto="1"/>
      </right>
      <top style="thin">
        <color auto="1"/>
      </top>
      <bottom/>
      <diagonal/>
    </border>
    <border>
      <left style="thin">
        <color auto="1"/>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right/>
      <top style="medium">
        <color indexed="64"/>
      </top>
      <bottom style="medium">
        <color indexed="64"/>
      </bottom>
      <diagonal/>
    </border>
    <border>
      <left style="thin">
        <color auto="1"/>
      </left>
      <right/>
      <top style="medium">
        <color indexed="64"/>
      </top>
      <bottom style="medium">
        <color indexed="64"/>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thick">
        <color rgb="FF000000"/>
      </right>
      <top style="medium">
        <color rgb="FFCCCCCC"/>
      </top>
      <bottom style="thick">
        <color rgb="FF000000"/>
      </bottom>
      <diagonal/>
    </border>
    <border>
      <left style="medium">
        <color rgb="FFCCCCCC"/>
      </left>
      <right style="thick">
        <color rgb="FF000000"/>
      </right>
      <top style="medium">
        <color rgb="FFCCCCCC"/>
      </top>
      <bottom style="thick">
        <color rgb="FF000000"/>
      </bottom>
      <diagonal/>
    </border>
    <border>
      <left/>
      <right style="thick">
        <color rgb="FF000000"/>
      </right>
      <top style="medium">
        <color rgb="FFCCCCCC"/>
      </top>
      <bottom style="thick">
        <color rgb="FF000000"/>
      </bottom>
      <diagonal/>
    </border>
    <border>
      <left style="medium">
        <color auto="1"/>
      </left>
      <right/>
      <top/>
      <bottom/>
      <diagonal/>
    </border>
    <border>
      <left style="thin">
        <color auto="1"/>
      </left>
      <right/>
      <top/>
      <bottom/>
      <diagonal/>
    </border>
    <border>
      <left style="medium">
        <color indexed="64"/>
      </left>
      <right/>
      <top/>
      <bottom style="medium">
        <color indexed="64"/>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top style="medium">
        <color auto="1"/>
      </top>
      <bottom/>
      <diagonal/>
    </border>
    <border>
      <left style="thin">
        <color auto="1"/>
      </left>
      <right/>
      <top/>
      <bottom style="medium">
        <color indexed="64"/>
      </bottom>
      <diagonal/>
    </border>
    <border>
      <left style="medium">
        <color auto="1"/>
      </left>
      <right style="thin">
        <color auto="1"/>
      </right>
      <top/>
      <bottom style="thin">
        <color auto="1"/>
      </bottom>
      <diagonal/>
    </border>
    <border>
      <left/>
      <right style="thin">
        <color auto="1"/>
      </right>
      <top/>
      <bottom/>
      <diagonal/>
    </border>
    <border>
      <left/>
      <right style="thin">
        <color auto="1"/>
      </right>
      <top style="thin">
        <color auto="1"/>
      </top>
      <bottom/>
      <diagonal/>
    </border>
    <border>
      <left/>
      <right/>
      <top/>
      <bottom style="medium">
        <color auto="1"/>
      </bottom>
      <diagonal/>
    </border>
    <border>
      <left/>
      <right/>
      <top style="medium">
        <color auto="1"/>
      </top>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medium">
        <color indexed="64"/>
      </right>
      <top style="thin">
        <color auto="1"/>
      </top>
      <bottom/>
      <diagonal/>
    </border>
    <border>
      <left/>
      <right style="medium">
        <color auto="1"/>
      </right>
      <top style="thin">
        <color auto="1"/>
      </top>
      <bottom style="thin">
        <color auto="1"/>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style="medium">
        <color auto="1"/>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auto="1"/>
      </right>
      <top style="medium">
        <color auto="1"/>
      </top>
      <bottom/>
      <diagonal/>
    </border>
    <border>
      <left/>
      <right style="thin">
        <color auto="1"/>
      </right>
      <top/>
      <bottom style="medium">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s>
  <cellStyleXfs count="31">
    <xf numFmtId="0" fontId="0" fillId="0" borderId="0"/>
    <xf numFmtId="42" fontId="16" fillId="0" borderId="0" applyFont="0" applyFill="0" applyBorder="0" applyAlignment="0" applyProtection="0"/>
    <xf numFmtId="9" fontId="29" fillId="0" borderId="0" applyFont="0" applyFill="0" applyBorder="0" applyAlignment="0" applyProtection="0"/>
    <xf numFmtId="42" fontId="4" fillId="0" borderId="0" applyFont="0" applyFill="0" applyBorder="0" applyAlignment="0" applyProtection="0"/>
    <xf numFmtId="43" fontId="29" fillId="0" borderId="0" applyFont="0" applyFill="0" applyBorder="0" applyAlignment="0" applyProtection="0"/>
    <xf numFmtId="41" fontId="29" fillId="0" borderId="0" applyFon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2"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29" fillId="0" borderId="0"/>
    <xf numFmtId="9" fontId="29" fillId="0" borderId="0" applyFont="0" applyFill="0" applyBorder="0" applyAlignment="0" applyProtection="0"/>
    <xf numFmtId="42" fontId="3" fillId="0" borderId="0" applyFont="0" applyFill="0" applyBorder="0" applyAlignment="0" applyProtection="0"/>
    <xf numFmtId="43" fontId="29" fillId="0" borderId="0" applyFont="0" applyFill="0" applyBorder="0" applyAlignment="0" applyProtection="0"/>
    <xf numFmtId="41"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0" fontId="3" fillId="0" borderId="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41" fillId="0" borderId="0" applyFont="0" applyFill="0" applyBorder="0" applyAlignment="0" applyProtection="0"/>
  </cellStyleXfs>
  <cellXfs count="1079">
    <xf numFmtId="0" fontId="0" fillId="0" borderId="0" xfId="0"/>
    <xf numFmtId="0" fontId="7" fillId="0" borderId="0" xfId="0" applyFont="1" applyAlignment="1">
      <alignment horizontal="center" vertical="center"/>
    </xf>
    <xf numFmtId="0" fontId="7" fillId="0" borderId="0" xfId="0" applyFont="1"/>
    <xf numFmtId="0" fontId="7" fillId="0" borderId="0" xfId="0" applyFont="1" applyAlignment="1">
      <alignment horizontal="center" vertical="center" wrapText="1"/>
    </xf>
    <xf numFmtId="42" fontId="11" fillId="4" borderId="11" xfId="1" applyFont="1" applyFill="1" applyBorder="1" applyAlignment="1">
      <alignment horizontal="center" vertical="center" wrapText="1"/>
    </xf>
    <xf numFmtId="0" fontId="7" fillId="0" borderId="0" xfId="0" applyFont="1" applyAlignment="1">
      <alignment horizontal="justify" vertical="center" wrapText="1"/>
    </xf>
    <xf numFmtId="0" fontId="10" fillId="4" borderId="11" xfId="0" applyFont="1" applyFill="1" applyBorder="1" applyAlignment="1">
      <alignment horizontal="center" vertical="center" wrapText="1"/>
    </xf>
    <xf numFmtId="0" fontId="7" fillId="0" borderId="0" xfId="0" applyFont="1" applyBorder="1" applyAlignment="1">
      <alignment horizontal="center" vertical="center" wrapText="1"/>
    </xf>
    <xf numFmtId="42" fontId="7" fillId="0" borderId="0" xfId="1" applyFont="1" applyAlignment="1">
      <alignment horizontal="center" vertical="center" wrapText="1"/>
    </xf>
    <xf numFmtId="42" fontId="7" fillId="0" borderId="0" xfId="1" applyFont="1" applyFill="1" applyAlignment="1">
      <alignment horizontal="center" vertical="center" wrapText="1"/>
    </xf>
    <xf numFmtId="0" fontId="10" fillId="0" borderId="0" xfId="0" applyFont="1" applyBorder="1" applyAlignment="1">
      <alignment horizontal="center" vertical="center"/>
    </xf>
    <xf numFmtId="0" fontId="10" fillId="0" borderId="0" xfId="0" applyFont="1" applyBorder="1"/>
    <xf numFmtId="0" fontId="10" fillId="0" borderId="0" xfId="0" applyFont="1" applyAlignment="1">
      <alignment horizontal="center" vertical="center"/>
    </xf>
    <xf numFmtId="42" fontId="7" fillId="6" borderId="0" xfId="1" applyFont="1" applyFill="1" applyAlignment="1">
      <alignment horizontal="center" vertical="center" wrapText="1"/>
    </xf>
    <xf numFmtId="3" fontId="18" fillId="0" borderId="13" xfId="0" applyNumberFormat="1" applyFont="1" applyFill="1" applyBorder="1" applyAlignment="1" applyProtection="1">
      <alignment horizontal="right" vertical="center"/>
    </xf>
    <xf numFmtId="42" fontId="7" fillId="0" borderId="0" xfId="0" applyNumberFormat="1" applyFont="1" applyAlignment="1">
      <alignment horizontal="center" vertical="center" wrapText="1"/>
    </xf>
    <xf numFmtId="3" fontId="7" fillId="0" borderId="0" xfId="0" applyNumberFormat="1" applyFont="1" applyAlignment="1">
      <alignment horizontal="center" vertical="center" wrapText="1"/>
    </xf>
    <xf numFmtId="0" fontId="21" fillId="0" borderId="32" xfId="0" applyFont="1" applyBorder="1" applyAlignment="1">
      <alignment horizontal="center" vertical="center" wrapText="1"/>
    </xf>
    <xf numFmtId="0" fontId="21" fillId="0" borderId="33" xfId="0" applyFont="1" applyBorder="1" applyAlignment="1">
      <alignment horizontal="center" vertical="center" wrapText="1"/>
    </xf>
    <xf numFmtId="0" fontId="5" fillId="5" borderId="33" xfId="0" applyFont="1" applyFill="1" applyBorder="1" applyAlignment="1">
      <alignment vertical="center" wrapText="1"/>
    </xf>
    <xf numFmtId="0" fontId="5" fillId="7" borderId="33" xfId="0" applyFont="1" applyFill="1" applyBorder="1" applyAlignment="1">
      <alignment vertical="center" wrapText="1"/>
    </xf>
    <xf numFmtId="0" fontId="19" fillId="8" borderId="33" xfId="0" applyFont="1" applyFill="1" applyBorder="1" applyAlignment="1">
      <alignment vertical="center" wrapText="1"/>
    </xf>
    <xf numFmtId="0" fontId="21" fillId="0" borderId="34" xfId="0" applyFont="1" applyBorder="1" applyAlignment="1">
      <alignment horizontal="center" vertical="center" wrapText="1"/>
    </xf>
    <xf numFmtId="0" fontId="5" fillId="9" borderId="34" xfId="0" applyFont="1" applyFill="1" applyBorder="1" applyAlignment="1">
      <alignment vertical="center" wrapText="1"/>
    </xf>
    <xf numFmtId="0" fontId="7" fillId="3" borderId="7"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1" fillId="4" borderId="11" xfId="0" applyFont="1" applyFill="1" applyBorder="1" applyAlignment="1">
      <alignment horizontal="center" vertical="center" wrapText="1"/>
    </xf>
    <xf numFmtId="49" fontId="10" fillId="10" borderId="25" xfId="0" applyNumberFormat="1" applyFont="1" applyFill="1" applyBorder="1" applyAlignment="1">
      <alignment vertical="center"/>
    </xf>
    <xf numFmtId="49" fontId="10" fillId="10" borderId="21" xfId="0" applyNumberFormat="1" applyFont="1" applyFill="1" applyBorder="1" applyAlignment="1">
      <alignment vertical="center"/>
    </xf>
    <xf numFmtId="42" fontId="10" fillId="10" borderId="20" xfId="1" applyFont="1" applyFill="1" applyBorder="1" applyAlignment="1">
      <alignment horizontal="center" vertical="center" wrapText="1"/>
    </xf>
    <xf numFmtId="0" fontId="5" fillId="6" borderId="34" xfId="0" applyFont="1" applyFill="1" applyBorder="1" applyAlignment="1">
      <alignment vertical="center" wrapText="1"/>
    </xf>
    <xf numFmtId="0" fontId="10" fillId="4" borderId="8" xfId="0" applyFont="1" applyFill="1" applyBorder="1" applyAlignment="1">
      <alignment vertical="center" wrapText="1"/>
    </xf>
    <xf numFmtId="0" fontId="17" fillId="4" borderId="11" xfId="0" applyFont="1" applyFill="1" applyBorder="1" applyAlignment="1">
      <alignment horizontal="center" vertical="center" wrapText="1"/>
    </xf>
    <xf numFmtId="0" fontId="7" fillId="11" borderId="2" xfId="0" applyFont="1" applyFill="1" applyBorder="1" applyAlignment="1">
      <alignment horizontal="center" vertical="center" wrapText="1"/>
    </xf>
    <xf numFmtId="0" fontId="7" fillId="11" borderId="2" xfId="0" applyFont="1" applyFill="1" applyBorder="1" applyAlignment="1">
      <alignment vertical="center" wrapText="1"/>
    </xf>
    <xf numFmtId="0" fontId="15" fillId="11" borderId="2" xfId="0" applyFont="1" applyFill="1" applyBorder="1" applyAlignment="1">
      <alignment horizontal="center" vertical="center"/>
    </xf>
    <xf numFmtId="0" fontId="7" fillId="11" borderId="2" xfId="0" applyFont="1" applyFill="1" applyBorder="1" applyAlignment="1">
      <alignment horizontal="center" vertical="center"/>
    </xf>
    <xf numFmtId="0" fontId="7" fillId="11" borderId="6" xfId="0" applyFont="1" applyFill="1" applyBorder="1" applyAlignment="1">
      <alignment horizontal="center" vertical="center" wrapText="1"/>
    </xf>
    <xf numFmtId="0" fontId="7" fillId="11" borderId="1" xfId="0" applyFont="1" applyFill="1" applyBorder="1" applyAlignment="1">
      <alignment horizontal="left" vertical="center" wrapText="1"/>
    </xf>
    <xf numFmtId="0" fontId="7" fillId="11" borderId="1" xfId="0" applyFont="1" applyFill="1" applyBorder="1" applyAlignment="1">
      <alignment vertical="center" wrapText="1"/>
    </xf>
    <xf numFmtId="0" fontId="15" fillId="11" borderId="1" xfId="0" applyFont="1" applyFill="1" applyBorder="1" applyAlignment="1">
      <alignment horizontal="center" vertical="center"/>
    </xf>
    <xf numFmtId="0" fontId="7" fillId="11" borderId="1" xfId="0" applyFont="1" applyFill="1" applyBorder="1" applyAlignment="1">
      <alignment horizontal="center" vertical="center"/>
    </xf>
    <xf numFmtId="0" fontId="12" fillId="12" borderId="1" xfId="0" applyFont="1" applyFill="1" applyBorder="1" applyAlignment="1" applyProtection="1">
      <alignment horizontal="justify" vertical="center" wrapText="1"/>
    </xf>
    <xf numFmtId="0" fontId="7" fillId="11" borderId="1" xfId="0" applyFont="1" applyFill="1" applyBorder="1" applyAlignment="1">
      <alignment horizontal="center" vertical="center" wrapText="1"/>
    </xf>
    <xf numFmtId="0" fontId="15" fillId="11" borderId="1" xfId="0" applyFont="1" applyFill="1" applyBorder="1" applyAlignment="1">
      <alignment horizontal="center" vertical="center" wrapText="1"/>
    </xf>
    <xf numFmtId="0" fontId="7" fillId="11" borderId="3" xfId="0" applyFont="1" applyFill="1" applyBorder="1" applyAlignment="1">
      <alignment horizontal="left" vertical="center" wrapText="1"/>
    </xf>
    <xf numFmtId="0" fontId="7" fillId="11" borderId="20" xfId="0" applyFont="1" applyFill="1" applyBorder="1" applyAlignment="1">
      <alignment horizontal="center" vertical="center" wrapText="1"/>
    </xf>
    <xf numFmtId="0" fontId="7" fillId="11" borderId="3" xfId="0" applyFont="1" applyFill="1" applyBorder="1" applyAlignment="1">
      <alignment vertical="center" wrapText="1"/>
    </xf>
    <xf numFmtId="0" fontId="7" fillId="11" borderId="20" xfId="0" applyFont="1" applyFill="1" applyBorder="1" applyAlignment="1">
      <alignment vertical="center" wrapText="1"/>
    </xf>
    <xf numFmtId="0" fontId="15" fillId="11" borderId="3" xfId="0" applyFont="1" applyFill="1" applyBorder="1" applyAlignment="1">
      <alignment horizontal="center" vertical="center"/>
    </xf>
    <xf numFmtId="0" fontId="7" fillId="11" borderId="3" xfId="0" applyFont="1" applyFill="1" applyBorder="1" applyAlignment="1">
      <alignment horizontal="center" vertical="center"/>
    </xf>
    <xf numFmtId="0" fontId="7" fillId="11" borderId="1" xfId="0" applyFont="1" applyFill="1" applyBorder="1" applyAlignment="1">
      <alignment horizontal="justify" vertical="center" wrapText="1"/>
    </xf>
    <xf numFmtId="0" fontId="7" fillId="11" borderId="11" xfId="0" applyFont="1" applyFill="1" applyBorder="1" applyAlignment="1">
      <alignment vertical="center" wrapText="1"/>
    </xf>
    <xf numFmtId="0" fontId="7" fillId="11" borderId="11" xfId="0" applyFont="1" applyFill="1" applyBorder="1" applyAlignment="1">
      <alignment horizontal="center" vertical="center"/>
    </xf>
    <xf numFmtId="0" fontId="7" fillId="11" borderId="11" xfId="0" applyFont="1" applyFill="1" applyBorder="1" applyAlignment="1">
      <alignment vertical="center"/>
    </xf>
    <xf numFmtId="0" fontId="7" fillId="13" borderId="1" xfId="0" applyFont="1" applyFill="1" applyBorder="1" applyAlignment="1">
      <alignment horizontal="left" vertical="center" wrapText="1"/>
    </xf>
    <xf numFmtId="0" fontId="7" fillId="13" borderId="1" xfId="0" applyFont="1" applyFill="1" applyBorder="1" applyAlignment="1">
      <alignment horizontal="center" vertical="center" wrapText="1"/>
    </xf>
    <xf numFmtId="0" fontId="7" fillId="13" borderId="1" xfId="0" applyFont="1" applyFill="1" applyBorder="1" applyAlignment="1">
      <alignment vertical="center" wrapText="1"/>
    </xf>
    <xf numFmtId="0" fontId="7" fillId="13" borderId="1" xfId="0" applyFont="1" applyFill="1" applyBorder="1" applyAlignment="1">
      <alignment vertical="center"/>
    </xf>
    <xf numFmtId="0" fontId="15" fillId="13" borderId="1" xfId="0" applyFont="1" applyFill="1" applyBorder="1" applyAlignment="1">
      <alignment horizontal="center" vertical="center" wrapText="1"/>
    </xf>
    <xf numFmtId="42" fontId="7" fillId="13" borderId="1" xfId="1" applyFont="1" applyFill="1" applyBorder="1" applyAlignment="1">
      <alignment horizontal="center" vertical="center" wrapText="1"/>
    </xf>
    <xf numFmtId="0" fontId="7" fillId="13" borderId="1" xfId="0" applyFont="1" applyFill="1" applyBorder="1" applyAlignment="1">
      <alignment horizontal="center" vertical="center"/>
    </xf>
    <xf numFmtId="0" fontId="7" fillId="13" borderId="1" xfId="0" applyFont="1" applyFill="1" applyBorder="1" applyAlignment="1">
      <alignment horizontal="justify" vertical="center" wrapText="1"/>
    </xf>
    <xf numFmtId="0" fontId="0" fillId="13" borderId="1" xfId="0" applyFill="1" applyBorder="1" applyAlignment="1">
      <alignment horizontal="center" vertical="center" wrapText="1"/>
    </xf>
    <xf numFmtId="0" fontId="7" fillId="13" borderId="3" xfId="0" applyFont="1" applyFill="1" applyBorder="1" applyAlignment="1">
      <alignment vertical="center"/>
    </xf>
    <xf numFmtId="0" fontId="7" fillId="13" borderId="3" xfId="0" applyFont="1" applyFill="1" applyBorder="1" applyAlignment="1">
      <alignment horizontal="center" vertical="center" wrapText="1"/>
    </xf>
    <xf numFmtId="0" fontId="7" fillId="13" borderId="3" xfId="0" applyFont="1" applyFill="1" applyBorder="1" applyAlignment="1">
      <alignment horizontal="center" vertical="center"/>
    </xf>
    <xf numFmtId="0" fontId="12" fillId="14" borderId="1" xfId="0" applyFont="1" applyFill="1" applyBorder="1" applyAlignment="1" applyProtection="1">
      <alignment horizontal="justify" vertical="center" wrapText="1"/>
    </xf>
    <xf numFmtId="0" fontId="7" fillId="13" borderId="3" xfId="0" applyFont="1" applyFill="1" applyBorder="1" applyAlignment="1">
      <alignment vertical="center" wrapText="1"/>
    </xf>
    <xf numFmtId="0" fontId="7" fillId="15" borderId="2" xfId="0" applyFont="1" applyFill="1" applyBorder="1" applyAlignment="1">
      <alignment vertical="center" wrapText="1"/>
    </xf>
    <xf numFmtId="0" fontId="7" fillId="15" borderId="2" xfId="0" applyFont="1" applyFill="1" applyBorder="1" applyAlignment="1">
      <alignment horizontal="center" vertical="center"/>
    </xf>
    <xf numFmtId="0" fontId="7" fillId="15" borderId="2" xfId="0" applyFont="1" applyFill="1" applyBorder="1" applyAlignment="1">
      <alignment vertical="center"/>
    </xf>
    <xf numFmtId="0" fontId="12" fillId="16" borderId="2" xfId="0" applyFont="1" applyFill="1" applyBorder="1" applyAlignment="1" applyProtection="1">
      <alignment horizontal="justify" vertical="center" wrapText="1"/>
    </xf>
    <xf numFmtId="0" fontId="7" fillId="15" borderId="2" xfId="0" applyFont="1" applyFill="1" applyBorder="1" applyAlignment="1">
      <alignment horizontal="center" vertical="center" wrapText="1"/>
    </xf>
    <xf numFmtId="0" fontId="15" fillId="15" borderId="2" xfId="0" applyFont="1" applyFill="1" applyBorder="1" applyAlignment="1">
      <alignment horizontal="center" vertical="center" wrapText="1"/>
    </xf>
    <xf numFmtId="0" fontId="7" fillId="15" borderId="8" xfId="0" applyFont="1" applyFill="1" applyBorder="1" applyAlignment="1">
      <alignment vertical="center" wrapText="1"/>
    </xf>
    <xf numFmtId="0" fontId="7" fillId="15" borderId="8" xfId="0" applyFont="1" applyFill="1" applyBorder="1" applyAlignment="1">
      <alignment vertical="center"/>
    </xf>
    <xf numFmtId="0" fontId="7" fillId="15" borderId="1" xfId="0" applyFont="1" applyFill="1" applyBorder="1" applyAlignment="1">
      <alignment horizontal="left" vertical="center" wrapText="1"/>
    </xf>
    <xf numFmtId="0" fontId="7" fillId="15" borderId="1" xfId="0" applyFont="1" applyFill="1" applyBorder="1" applyAlignment="1">
      <alignment horizontal="center" vertical="center" wrapText="1"/>
    </xf>
    <xf numFmtId="0" fontId="15" fillId="15" borderId="1" xfId="0" applyFont="1" applyFill="1" applyBorder="1" applyAlignment="1">
      <alignment horizontal="center" vertical="center" wrapText="1"/>
    </xf>
    <xf numFmtId="42" fontId="7" fillId="15" borderId="1" xfId="1" applyFont="1" applyFill="1" applyBorder="1" applyAlignment="1">
      <alignment horizontal="center" vertical="center" wrapText="1"/>
    </xf>
    <xf numFmtId="0" fontId="7" fillId="15" borderId="1" xfId="0" applyFont="1" applyFill="1" applyBorder="1" applyAlignment="1">
      <alignment vertical="center"/>
    </xf>
    <xf numFmtId="0" fontId="7" fillId="15" borderId="3" xfId="0" applyFont="1" applyFill="1" applyBorder="1" applyAlignment="1">
      <alignment horizontal="center" vertical="center" wrapText="1"/>
    </xf>
    <xf numFmtId="0" fontId="7" fillId="15" borderId="3" xfId="0" applyFont="1" applyFill="1" applyBorder="1" applyAlignment="1">
      <alignment vertical="center" wrapText="1"/>
    </xf>
    <xf numFmtId="0" fontId="7" fillId="15" borderId="3" xfId="0" applyFont="1" applyFill="1" applyBorder="1" applyAlignment="1">
      <alignment horizontal="center" vertical="center"/>
    </xf>
    <xf numFmtId="0" fontId="7" fillId="15" borderId="3" xfId="0" applyFont="1" applyFill="1" applyBorder="1" applyAlignment="1">
      <alignment vertical="center"/>
    </xf>
    <xf numFmtId="0" fontId="15" fillId="15" borderId="3" xfId="0" applyFont="1" applyFill="1" applyBorder="1" applyAlignment="1">
      <alignment horizontal="center" vertical="center" wrapText="1"/>
    </xf>
    <xf numFmtId="42" fontId="7" fillId="15" borderId="3" xfId="1" applyFont="1" applyFill="1" applyBorder="1" applyAlignment="1">
      <alignment horizontal="center" vertical="center" wrapText="1"/>
    </xf>
    <xf numFmtId="0" fontId="7" fillId="15" borderId="20" xfId="0" applyFont="1" applyFill="1" applyBorder="1" applyAlignment="1">
      <alignment horizontal="left" vertical="center" wrapText="1"/>
    </xf>
    <xf numFmtId="0" fontId="7" fillId="15" borderId="9" xfId="0" applyFont="1" applyFill="1" applyBorder="1" applyAlignment="1">
      <alignment vertical="center" wrapText="1"/>
    </xf>
    <xf numFmtId="0" fontId="7" fillId="7" borderId="8" xfId="0" applyFont="1" applyFill="1" applyBorder="1" applyAlignment="1">
      <alignment vertical="center" wrapText="1"/>
    </xf>
    <xf numFmtId="0" fontId="7" fillId="7" borderId="8" xfId="0" applyFont="1" applyFill="1" applyBorder="1" applyAlignment="1">
      <alignment vertical="center"/>
    </xf>
    <xf numFmtId="0" fontId="7" fillId="7" borderId="8" xfId="0" applyFont="1" applyFill="1" applyBorder="1" applyAlignment="1">
      <alignment horizontal="justify" vertical="center" wrapText="1"/>
    </xf>
    <xf numFmtId="0" fontId="15" fillId="7" borderId="8" xfId="0" applyFont="1" applyFill="1" applyBorder="1" applyAlignment="1">
      <alignment horizontal="center" vertical="center" wrapText="1"/>
    </xf>
    <xf numFmtId="0" fontId="7" fillId="7" borderId="1" xfId="0" applyFont="1" applyFill="1" applyBorder="1" applyAlignment="1">
      <alignment vertical="center" wrapText="1"/>
    </xf>
    <xf numFmtId="0" fontId="7" fillId="7" borderId="1" xfId="0" applyFont="1" applyFill="1" applyBorder="1" applyAlignment="1">
      <alignment horizontal="center" vertical="center"/>
    </xf>
    <xf numFmtId="0" fontId="7" fillId="7" borderId="1" xfId="0" applyFont="1" applyFill="1" applyBorder="1" applyAlignment="1">
      <alignment horizontal="justify" vertical="center" wrapText="1"/>
    </xf>
    <xf numFmtId="0" fontId="7" fillId="7" borderId="8" xfId="0" applyFont="1" applyFill="1" applyBorder="1" applyAlignment="1">
      <alignment horizontal="center" vertical="center" wrapText="1"/>
    </xf>
    <xf numFmtId="0" fontId="13" fillId="17" borderId="1" xfId="0" applyFont="1" applyFill="1" applyBorder="1" applyAlignment="1" applyProtection="1">
      <alignment horizontal="justify" vertical="center" wrapText="1"/>
    </xf>
    <xf numFmtId="0" fontId="7" fillId="7"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7" fillId="7" borderId="2"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7" fillId="7" borderId="11" xfId="0" applyFont="1" applyFill="1" applyBorder="1" applyAlignment="1">
      <alignment vertical="center" wrapText="1"/>
    </xf>
    <xf numFmtId="0" fontId="7" fillId="9" borderId="2" xfId="0" applyFont="1" applyFill="1" applyBorder="1" applyAlignment="1">
      <alignment horizontal="center" vertical="center"/>
    </xf>
    <xf numFmtId="42" fontId="7" fillId="9" borderId="2" xfId="1" applyFont="1" applyFill="1" applyBorder="1" applyAlignment="1">
      <alignment horizontal="center" vertical="center" wrapText="1"/>
    </xf>
    <xf numFmtId="0" fontId="7" fillId="9" borderId="1" xfId="0" applyFont="1" applyFill="1" applyBorder="1" applyAlignment="1">
      <alignment horizontal="center" vertical="center"/>
    </xf>
    <xf numFmtId="0" fontId="7" fillId="9" borderId="1" xfId="0" applyFont="1" applyFill="1" applyBorder="1" applyAlignment="1">
      <alignment vertical="center" wrapText="1"/>
    </xf>
    <xf numFmtId="0" fontId="7" fillId="9" borderId="1" xfId="0" applyFont="1" applyFill="1" applyBorder="1" applyAlignment="1">
      <alignment vertical="center"/>
    </xf>
    <xf numFmtId="0" fontId="7" fillId="9" borderId="1" xfId="0" applyFont="1" applyFill="1" applyBorder="1" applyAlignment="1">
      <alignment horizontal="justify" vertical="center" wrapText="1"/>
    </xf>
    <xf numFmtId="0" fontId="7" fillId="9" borderId="1" xfId="0" applyFont="1" applyFill="1" applyBorder="1" applyAlignment="1">
      <alignment horizontal="center" vertical="center" wrapText="1"/>
    </xf>
    <xf numFmtId="0" fontId="0" fillId="9" borderId="1" xfId="0" applyFill="1" applyBorder="1" applyAlignment="1">
      <alignment horizontal="center" vertical="center" wrapText="1"/>
    </xf>
    <xf numFmtId="0" fontId="15" fillId="9" borderId="1" xfId="0" applyFont="1" applyFill="1" applyBorder="1" applyAlignment="1">
      <alignment horizontal="center" vertical="center" wrapText="1"/>
    </xf>
    <xf numFmtId="42" fontId="7" fillId="9" borderId="1" xfId="1" applyFont="1" applyFill="1" applyBorder="1" applyAlignment="1">
      <alignment horizontal="center" vertical="center" wrapText="1"/>
    </xf>
    <xf numFmtId="0" fontId="7" fillId="7" borderId="11" xfId="0" applyFont="1" applyFill="1" applyBorder="1" applyAlignment="1">
      <alignment horizontal="center" vertical="center"/>
    </xf>
    <xf numFmtId="0" fontId="7" fillId="7" borderId="11" xfId="0" applyFont="1" applyFill="1" applyBorder="1" applyAlignment="1">
      <alignment horizontal="justify" vertical="center" wrapText="1"/>
    </xf>
    <xf numFmtId="0" fontId="15" fillId="7" borderId="11" xfId="0" applyFont="1" applyFill="1" applyBorder="1" applyAlignment="1">
      <alignment horizontal="center" vertical="center" wrapText="1"/>
    </xf>
    <xf numFmtId="0" fontId="7" fillId="9" borderId="11" xfId="0" applyFont="1" applyFill="1" applyBorder="1" applyAlignment="1">
      <alignment horizontal="center" vertical="center" wrapText="1"/>
    </xf>
    <xf numFmtId="0" fontId="7" fillId="9" borderId="11" xfId="0" applyFont="1" applyFill="1" applyBorder="1" applyAlignment="1">
      <alignment vertical="center"/>
    </xf>
    <xf numFmtId="0" fontId="7" fillId="9" borderId="11" xfId="0" applyFont="1" applyFill="1" applyBorder="1" applyAlignment="1">
      <alignment horizontal="justify" vertical="center" wrapText="1"/>
    </xf>
    <xf numFmtId="0" fontId="7" fillId="18" borderId="2" xfId="0" applyFont="1" applyFill="1" applyBorder="1" applyAlignment="1">
      <alignment horizontal="center" vertical="center" wrapText="1"/>
    </xf>
    <xf numFmtId="0" fontId="7" fillId="18" borderId="2" xfId="0" applyFont="1" applyFill="1" applyBorder="1" applyAlignment="1">
      <alignment vertical="center"/>
    </xf>
    <xf numFmtId="0" fontId="15" fillId="18" borderId="2" xfId="0" applyFont="1" applyFill="1" applyBorder="1" applyAlignment="1">
      <alignment horizontal="center" vertical="center" wrapText="1"/>
    </xf>
    <xf numFmtId="42" fontId="7" fillId="18" borderId="2" xfId="1" applyFont="1" applyFill="1" applyBorder="1" applyAlignment="1">
      <alignment horizontal="center" vertical="center" wrapText="1"/>
    </xf>
    <xf numFmtId="0" fontId="7" fillId="18" borderId="8" xfId="0" applyFont="1" applyFill="1" applyBorder="1" applyAlignment="1">
      <alignment horizontal="center" vertical="center" wrapText="1"/>
    </xf>
    <xf numFmtId="0" fontId="7" fillId="18" borderId="1" xfId="0" applyFont="1" applyFill="1" applyBorder="1" applyAlignment="1">
      <alignment horizontal="center" vertical="center" wrapText="1"/>
    </xf>
    <xf numFmtId="0" fontId="7" fillId="18" borderId="1" xfId="0" applyFont="1" applyFill="1" applyBorder="1" applyAlignment="1">
      <alignment vertical="center"/>
    </xf>
    <xf numFmtId="0" fontId="7" fillId="18" borderId="1" xfId="0" applyFont="1" applyFill="1" applyBorder="1" applyAlignment="1">
      <alignment horizontal="justify" vertical="center" wrapText="1"/>
    </xf>
    <xf numFmtId="0" fontId="7" fillId="18" borderId="1" xfId="0" applyFont="1" applyFill="1" applyBorder="1" applyAlignment="1">
      <alignment horizontal="center" vertical="center"/>
    </xf>
    <xf numFmtId="0" fontId="15" fillId="18" borderId="1" xfId="0" applyFont="1" applyFill="1" applyBorder="1" applyAlignment="1">
      <alignment horizontal="center" vertical="center" wrapText="1"/>
    </xf>
    <xf numFmtId="42" fontId="7" fillId="18" borderId="1" xfId="1" applyFont="1" applyFill="1" applyBorder="1" applyAlignment="1">
      <alignment horizontal="center" vertical="center" wrapText="1"/>
    </xf>
    <xf numFmtId="0" fontId="7" fillId="18" borderId="1" xfId="0" applyFont="1" applyFill="1" applyBorder="1" applyAlignment="1">
      <alignment vertical="center" wrapText="1"/>
    </xf>
    <xf numFmtId="0" fontId="7" fillId="18" borderId="3" xfId="0" applyFont="1" applyFill="1" applyBorder="1" applyAlignment="1">
      <alignment horizontal="center" vertical="center" wrapText="1"/>
    </xf>
    <xf numFmtId="0" fontId="7" fillId="18" borderId="3" xfId="0" applyFont="1" applyFill="1" applyBorder="1" applyAlignment="1">
      <alignment vertical="center" wrapText="1"/>
    </xf>
    <xf numFmtId="0" fontId="7" fillId="18" borderId="3" xfId="0" applyFont="1" applyFill="1" applyBorder="1" applyAlignment="1">
      <alignment vertical="center"/>
    </xf>
    <xf numFmtId="0" fontId="7" fillId="18" borderId="3" xfId="0" applyFont="1" applyFill="1" applyBorder="1" applyAlignment="1">
      <alignment horizontal="justify" vertical="center" wrapText="1"/>
    </xf>
    <xf numFmtId="0" fontId="0" fillId="18" borderId="3" xfId="0" applyFill="1" applyBorder="1" applyAlignment="1">
      <alignment horizontal="center" vertical="center" wrapText="1"/>
    </xf>
    <xf numFmtId="0" fontId="15" fillId="18" borderId="3" xfId="0" applyFont="1" applyFill="1" applyBorder="1" applyAlignment="1">
      <alignment horizontal="center" vertical="center" wrapText="1"/>
    </xf>
    <xf numFmtId="9" fontId="14" fillId="15" borderId="2" xfId="0" applyNumberFormat="1" applyFont="1" applyFill="1" applyBorder="1" applyAlignment="1">
      <alignment vertical="center"/>
    </xf>
    <xf numFmtId="9" fontId="14" fillId="15" borderId="8" xfId="0" applyNumberFormat="1" applyFont="1" applyFill="1" applyBorder="1" applyAlignment="1">
      <alignment vertical="center"/>
    </xf>
    <xf numFmtId="0" fontId="7" fillId="19" borderId="2" xfId="0" applyFont="1" applyFill="1" applyBorder="1" applyAlignment="1">
      <alignment horizontal="center" vertical="center" wrapText="1"/>
    </xf>
    <xf numFmtId="0" fontId="7" fillId="19" borderId="2" xfId="0" applyFont="1" applyFill="1" applyBorder="1" applyAlignment="1">
      <alignment vertical="center" wrapText="1"/>
    </xf>
    <xf numFmtId="0" fontId="7" fillId="19" borderId="2" xfId="0" applyFont="1" applyFill="1" applyBorder="1" applyAlignment="1">
      <alignment horizontal="center" vertical="center"/>
    </xf>
    <xf numFmtId="0" fontId="7" fillId="19" borderId="2" xfId="0" applyFont="1" applyFill="1" applyBorder="1" applyAlignment="1">
      <alignment vertical="center"/>
    </xf>
    <xf numFmtId="0" fontId="15" fillId="19" borderId="2" xfId="0" applyFont="1" applyFill="1" applyBorder="1" applyAlignment="1">
      <alignment horizontal="center" vertical="center" wrapText="1"/>
    </xf>
    <xf numFmtId="42" fontId="7" fillId="19" borderId="2" xfId="1" applyFont="1" applyFill="1" applyBorder="1" applyAlignment="1">
      <alignment horizontal="center" vertical="center" wrapText="1"/>
    </xf>
    <xf numFmtId="0" fontId="7" fillId="19" borderId="8" xfId="0" applyFont="1" applyFill="1" applyBorder="1" applyAlignment="1">
      <alignment horizontal="center" vertical="center" wrapText="1"/>
    </xf>
    <xf numFmtId="0" fontId="7" fillId="19" borderId="8" xfId="0" applyFont="1" applyFill="1" applyBorder="1" applyAlignment="1">
      <alignment vertical="center" wrapText="1"/>
    </xf>
    <xf numFmtId="0" fontId="7" fillId="19" borderId="8" xfId="0" applyFont="1" applyFill="1" applyBorder="1" applyAlignment="1">
      <alignment horizontal="center" vertical="center"/>
    </xf>
    <xf numFmtId="0" fontId="7" fillId="19" borderId="8" xfId="0" applyFont="1" applyFill="1" applyBorder="1" applyAlignment="1">
      <alignment vertical="center"/>
    </xf>
    <xf numFmtId="0" fontId="7" fillId="19" borderId="8" xfId="0" applyFont="1" applyFill="1" applyBorder="1" applyAlignment="1">
      <alignment horizontal="justify" vertical="center" wrapText="1"/>
    </xf>
    <xf numFmtId="0" fontId="15" fillId="19" borderId="8" xfId="0" applyFont="1" applyFill="1" applyBorder="1" applyAlignment="1">
      <alignment horizontal="center" vertical="center" wrapText="1"/>
    </xf>
    <xf numFmtId="42" fontId="7" fillId="19" borderId="8" xfId="1" applyFont="1" applyFill="1" applyBorder="1" applyAlignment="1">
      <alignment horizontal="center" vertical="center" wrapText="1"/>
    </xf>
    <xf numFmtId="0" fontId="7" fillId="19" borderId="1" xfId="0" applyFont="1" applyFill="1" applyBorder="1" applyAlignment="1">
      <alignment horizontal="center" vertical="center" wrapText="1"/>
    </xf>
    <xf numFmtId="0" fontId="7" fillId="19" borderId="1" xfId="0" applyFont="1" applyFill="1" applyBorder="1" applyAlignment="1">
      <alignment vertical="center" wrapText="1"/>
    </xf>
    <xf numFmtId="0" fontId="7" fillId="19" borderId="1" xfId="0" applyFont="1" applyFill="1" applyBorder="1" applyAlignment="1">
      <alignment horizontal="center" vertical="center"/>
    </xf>
    <xf numFmtId="0" fontId="7" fillId="19" borderId="1" xfId="0" applyFont="1" applyFill="1" applyBorder="1" applyAlignment="1">
      <alignment vertical="center"/>
    </xf>
    <xf numFmtId="0" fontId="7" fillId="19" borderId="1" xfId="0" applyFont="1" applyFill="1" applyBorder="1" applyAlignment="1">
      <alignment horizontal="justify" vertical="center" wrapText="1"/>
    </xf>
    <xf numFmtId="0" fontId="15" fillId="19" borderId="1" xfId="0" applyFont="1" applyFill="1" applyBorder="1" applyAlignment="1">
      <alignment horizontal="center" vertical="center" wrapText="1"/>
    </xf>
    <xf numFmtId="42" fontId="7" fillId="19" borderId="1" xfId="1" applyFont="1" applyFill="1" applyBorder="1" applyAlignment="1">
      <alignment horizontal="center" vertical="center" wrapText="1"/>
    </xf>
    <xf numFmtId="0" fontId="7" fillId="19" borderId="3" xfId="0" applyFont="1" applyFill="1" applyBorder="1" applyAlignment="1">
      <alignment vertical="center" wrapText="1"/>
    </xf>
    <xf numFmtId="0" fontId="7" fillId="19" borderId="3" xfId="0" applyFont="1" applyFill="1" applyBorder="1" applyAlignment="1">
      <alignment horizontal="center" vertical="center"/>
    </xf>
    <xf numFmtId="0" fontId="7" fillId="19" borderId="3" xfId="0" applyFont="1" applyFill="1" applyBorder="1" applyAlignment="1">
      <alignment vertical="center"/>
    </xf>
    <xf numFmtId="0" fontId="7" fillId="19" borderId="3" xfId="0" applyFont="1" applyFill="1" applyBorder="1" applyAlignment="1">
      <alignment horizontal="justify" vertical="center" wrapText="1"/>
    </xf>
    <xf numFmtId="0" fontId="0" fillId="19" borderId="3" xfId="0" applyFill="1" applyBorder="1" applyAlignment="1">
      <alignment horizontal="center" vertical="center" wrapText="1"/>
    </xf>
    <xf numFmtId="0" fontId="10" fillId="3" borderId="7"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7" fillId="3" borderId="7" xfId="0" applyFont="1" applyFill="1" applyBorder="1" applyAlignment="1">
      <alignment horizontal="center" vertical="center"/>
    </xf>
    <xf numFmtId="0" fontId="10" fillId="3" borderId="7" xfId="0" applyFont="1" applyFill="1" applyBorder="1" applyAlignment="1">
      <alignment horizontal="center" vertical="center"/>
    </xf>
    <xf numFmtId="0" fontId="7" fillId="7" borderId="1"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7" fillId="11" borderId="17" xfId="0" applyFont="1" applyFill="1" applyBorder="1" applyAlignment="1">
      <alignment horizontal="center" vertical="center" wrapText="1"/>
    </xf>
    <xf numFmtId="0" fontId="7" fillId="11" borderId="23" xfId="0" applyFont="1" applyFill="1" applyBorder="1" applyAlignment="1">
      <alignment horizontal="center" vertical="center" wrapText="1"/>
    </xf>
    <xf numFmtId="0" fontId="7" fillId="11" borderId="17" xfId="0" applyFont="1" applyFill="1" applyBorder="1" applyAlignment="1">
      <alignment horizontal="center" vertical="center"/>
    </xf>
    <xf numFmtId="0" fontId="10" fillId="11" borderId="17" xfId="0" applyFont="1" applyFill="1" applyBorder="1" applyAlignment="1">
      <alignment horizontal="center" vertical="center" wrapText="1"/>
    </xf>
    <xf numFmtId="42" fontId="7" fillId="15" borderId="1" xfId="1" applyFont="1" applyFill="1" applyBorder="1" applyAlignment="1">
      <alignment vertical="center" wrapText="1"/>
    </xf>
    <xf numFmtId="0" fontId="0" fillId="7" borderId="11" xfId="0" applyFill="1" applyBorder="1" applyAlignment="1">
      <alignment horizontal="center" vertical="center" wrapText="1"/>
    </xf>
    <xf numFmtId="42" fontId="7" fillId="0" borderId="0" xfId="0" applyNumberFormat="1" applyFont="1" applyBorder="1" applyAlignment="1">
      <alignment horizontal="center" vertical="center" wrapText="1"/>
    </xf>
    <xf numFmtId="0" fontId="7" fillId="11" borderId="17" xfId="0" applyFont="1" applyFill="1" applyBorder="1" applyAlignment="1">
      <alignment vertical="center" wrapText="1"/>
    </xf>
    <xf numFmtId="0" fontId="7" fillId="11" borderId="36" xfId="0" applyFont="1" applyFill="1" applyBorder="1" applyAlignment="1">
      <alignment horizontal="center" vertical="center" wrapText="1"/>
    </xf>
    <xf numFmtId="0" fontId="7" fillId="11" borderId="17" xfId="0" applyFont="1" applyFill="1" applyBorder="1" applyAlignment="1">
      <alignment vertical="center"/>
    </xf>
    <xf numFmtId="0" fontId="7" fillId="3" borderId="23" xfId="0" applyFont="1" applyFill="1" applyBorder="1" applyAlignment="1">
      <alignment horizontal="center" vertical="center" wrapText="1"/>
    </xf>
    <xf numFmtId="42" fontId="7" fillId="0" borderId="0" xfId="0" applyNumberFormat="1" applyFont="1" applyAlignment="1">
      <alignment horizontal="center" vertical="center"/>
    </xf>
    <xf numFmtId="0" fontId="7" fillId="5" borderId="0" xfId="0" applyFont="1" applyFill="1" applyAlignment="1">
      <alignment horizontal="center" vertical="center"/>
    </xf>
    <xf numFmtId="0" fontId="7" fillId="9" borderId="8"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9" borderId="2" xfId="0" applyFont="1" applyFill="1" applyBorder="1" applyAlignment="1">
      <alignment horizontal="center" vertical="center" wrapText="1"/>
    </xf>
    <xf numFmtId="9" fontId="14" fillId="15" borderId="17" xfId="0" applyNumberFormat="1" applyFont="1" applyFill="1" applyBorder="1" applyAlignment="1">
      <alignment horizontal="center" vertical="center"/>
    </xf>
    <xf numFmtId="0" fontId="12" fillId="12" borderId="1" xfId="0" applyFont="1" applyFill="1" applyBorder="1" applyAlignment="1">
      <alignment horizontal="justify" vertical="center" wrapText="1"/>
    </xf>
    <xf numFmtId="0" fontId="7" fillId="12" borderId="1" xfId="0" applyFont="1" applyFill="1" applyBorder="1" applyAlignment="1">
      <alignment horizontal="justify" vertical="center" wrapText="1"/>
    </xf>
    <xf numFmtId="0" fontId="13" fillId="17" borderId="1" xfId="0" applyFont="1" applyFill="1" applyBorder="1" applyAlignment="1">
      <alignment horizontal="justify" vertical="center" wrapText="1"/>
    </xf>
    <xf numFmtId="9" fontId="7" fillId="7" borderId="1" xfId="0" applyNumberFormat="1" applyFont="1" applyFill="1" applyBorder="1" applyAlignment="1">
      <alignment horizontal="center" vertical="center" wrapText="1"/>
    </xf>
    <xf numFmtId="0" fontId="7" fillId="9" borderId="8" xfId="0" applyFont="1" applyFill="1" applyBorder="1" applyAlignment="1">
      <alignment horizontal="justify" vertical="center" wrapText="1"/>
    </xf>
    <xf numFmtId="42" fontId="7" fillId="9" borderId="11" xfId="1" applyFont="1" applyFill="1" applyBorder="1" applyAlignment="1">
      <alignment vertical="center" wrapText="1"/>
    </xf>
    <xf numFmtId="0" fontId="15" fillId="9" borderId="1" xfId="0" applyFont="1" applyFill="1" applyBorder="1" applyAlignment="1">
      <alignment vertical="center" wrapText="1"/>
    </xf>
    <xf numFmtId="0" fontId="7" fillId="19" borderId="2" xfId="0" applyFont="1" applyFill="1" applyBorder="1" applyAlignment="1">
      <alignment horizontal="left" vertical="top" wrapText="1"/>
    </xf>
    <xf numFmtId="0" fontId="12" fillId="16" borderId="1" xfId="0" applyFont="1" applyFill="1" applyBorder="1" applyAlignment="1">
      <alignment horizontal="justify" vertical="center" wrapText="1"/>
    </xf>
    <xf numFmtId="0" fontId="7" fillId="3" borderId="23" xfId="0" applyFont="1" applyFill="1" applyBorder="1" applyAlignment="1">
      <alignment horizontal="center" vertical="center" wrapText="1"/>
    </xf>
    <xf numFmtId="0" fontId="7" fillId="13" borderId="17" xfId="0" applyFont="1" applyFill="1" applyBorder="1" applyAlignment="1">
      <alignment horizontal="center" vertical="center" wrapText="1"/>
    </xf>
    <xf numFmtId="0" fontId="7" fillId="11" borderId="17" xfId="0" applyFont="1" applyFill="1" applyBorder="1" applyAlignment="1">
      <alignment horizontal="center" vertical="center" wrapText="1"/>
    </xf>
    <xf numFmtId="0" fontId="7" fillId="3" borderId="44" xfId="0" applyFont="1" applyFill="1" applyBorder="1" applyAlignment="1">
      <alignment horizontal="center" vertical="center"/>
    </xf>
    <xf numFmtId="0" fontId="7" fillId="14" borderId="1" xfId="0" applyFont="1" applyFill="1" applyBorder="1" applyAlignment="1">
      <alignment horizontal="justify" vertical="center" wrapText="1"/>
    </xf>
    <xf numFmtId="0" fontId="7" fillId="15" borderId="17" xfId="0" applyFont="1" applyFill="1" applyBorder="1" applyAlignment="1">
      <alignment horizontal="center" vertical="center" wrapText="1"/>
    </xf>
    <xf numFmtId="0" fontId="7" fillId="15" borderId="8" xfId="0" applyFont="1" applyFill="1" applyBorder="1" applyAlignment="1">
      <alignment horizontal="center" vertical="center" wrapText="1"/>
    </xf>
    <xf numFmtId="0" fontId="7" fillId="15" borderId="11" xfId="0" applyFont="1" applyFill="1" applyBorder="1" applyAlignment="1">
      <alignment horizontal="center" vertical="center" wrapText="1"/>
    </xf>
    <xf numFmtId="0" fontId="7" fillId="13" borderId="11" xfId="0" applyFont="1" applyFill="1" applyBorder="1" applyAlignment="1">
      <alignment vertical="center"/>
    </xf>
    <xf numFmtId="0" fontId="12" fillId="13" borderId="1" xfId="0" applyFont="1" applyFill="1" applyBorder="1" applyAlignment="1">
      <alignment vertical="center" wrapText="1"/>
    </xf>
    <xf numFmtId="0" fontId="12" fillId="14" borderId="1" xfId="0" applyFont="1" applyFill="1" applyBorder="1" applyAlignment="1">
      <alignment horizontal="justify" vertical="center" wrapText="1"/>
    </xf>
    <xf numFmtId="0" fontId="7" fillId="11" borderId="12" xfId="0" applyFont="1" applyFill="1" applyBorder="1" applyAlignment="1">
      <alignment vertical="center" wrapText="1"/>
    </xf>
    <xf numFmtId="0" fontId="15" fillId="7" borderId="8" xfId="0" applyFont="1" applyFill="1" applyBorder="1" applyAlignment="1">
      <alignment vertical="center" wrapText="1"/>
    </xf>
    <xf numFmtId="0" fontId="12" fillId="16" borderId="2" xfId="0" applyFont="1" applyFill="1" applyBorder="1" applyAlignment="1">
      <alignment horizontal="justify" vertical="center" wrapText="1"/>
    </xf>
    <xf numFmtId="0" fontId="12" fillId="16" borderId="8" xfId="0" applyFont="1" applyFill="1" applyBorder="1" applyAlignment="1">
      <alignment horizontal="justify" vertical="center" wrapText="1"/>
    </xf>
    <xf numFmtId="9" fontId="7" fillId="15" borderId="8" xfId="0" applyNumberFormat="1" applyFont="1" applyFill="1" applyBorder="1" applyAlignment="1">
      <alignment horizontal="center" vertical="center" wrapText="1"/>
    </xf>
    <xf numFmtId="0" fontId="7" fillId="15" borderId="17" xfId="0" applyFont="1" applyFill="1" applyBorder="1" applyAlignment="1">
      <alignment vertical="center"/>
    </xf>
    <xf numFmtId="0" fontId="7" fillId="15" borderId="11" xfId="0" applyFont="1" applyFill="1" applyBorder="1" applyAlignment="1">
      <alignment horizontal="left" vertical="center" wrapText="1"/>
    </xf>
    <xf numFmtId="0" fontId="7" fillId="0" borderId="0" xfId="0" applyFont="1" applyAlignment="1">
      <alignment horizontal="center" vertical="center"/>
    </xf>
    <xf numFmtId="0" fontId="7" fillId="15" borderId="2" xfId="0" applyFont="1" applyFill="1" applyBorder="1" applyAlignment="1">
      <alignment horizontal="center" vertical="center" wrapText="1"/>
    </xf>
    <xf numFmtId="0" fontId="7" fillId="15" borderId="8" xfId="0" applyFont="1" applyFill="1" applyBorder="1" applyAlignment="1">
      <alignment horizontal="center" vertical="center" wrapText="1"/>
    </xf>
    <xf numFmtId="0" fontId="7" fillId="15" borderId="11" xfId="0" applyFont="1" applyFill="1" applyBorder="1" applyAlignment="1">
      <alignment horizontal="center" vertical="center" wrapText="1"/>
    </xf>
    <xf numFmtId="0" fontId="7" fillId="15" borderId="1" xfId="0" applyFont="1" applyFill="1" applyBorder="1" applyAlignment="1">
      <alignment vertical="center" wrapText="1"/>
    </xf>
    <xf numFmtId="0" fontId="7" fillId="15" borderId="1" xfId="0" applyFont="1" applyFill="1" applyBorder="1" applyAlignment="1">
      <alignment horizontal="center" vertical="center"/>
    </xf>
    <xf numFmtId="0" fontId="7" fillId="15" borderId="1" xfId="0" applyFont="1" applyFill="1" applyBorder="1" applyAlignment="1">
      <alignment horizontal="justify" vertical="center" wrapText="1"/>
    </xf>
    <xf numFmtId="0" fontId="7" fillId="15" borderId="3" xfId="0" applyFont="1" applyFill="1" applyBorder="1" applyAlignment="1">
      <alignment horizontal="center" vertical="center" wrapText="1"/>
    </xf>
    <xf numFmtId="0" fontId="7" fillId="15" borderId="3" xfId="0" applyFont="1" applyFill="1" applyBorder="1" applyAlignment="1">
      <alignment horizontal="center" vertical="center"/>
    </xf>
    <xf numFmtId="0" fontId="7" fillId="15" borderId="3" xfId="0" applyFont="1" applyFill="1" applyBorder="1" applyAlignment="1">
      <alignment horizontal="justify" vertical="center" wrapText="1"/>
    </xf>
    <xf numFmtId="0" fontId="7" fillId="15" borderId="2" xfId="0" applyFont="1" applyFill="1" applyBorder="1" applyAlignment="1">
      <alignment horizontal="justify" vertical="center" wrapText="1"/>
    </xf>
    <xf numFmtId="0" fontId="7" fillId="15" borderId="8" xfId="0" applyFont="1" applyFill="1" applyBorder="1" applyAlignment="1">
      <alignment horizontal="justify" vertical="center" wrapText="1"/>
    </xf>
    <xf numFmtId="0" fontId="7" fillId="15" borderId="11" xfId="0" applyFont="1" applyFill="1" applyBorder="1" applyAlignment="1">
      <alignment horizontal="justify" vertical="center" wrapText="1"/>
    </xf>
    <xf numFmtId="0" fontId="7" fillId="3" borderId="23" xfId="0" applyFont="1" applyFill="1" applyBorder="1" applyAlignment="1">
      <alignment horizontal="center" vertical="center" wrapText="1"/>
    </xf>
    <xf numFmtId="0" fontId="7" fillId="15" borderId="11" xfId="0" applyFont="1" applyFill="1" applyBorder="1" applyAlignment="1">
      <alignment vertical="center" wrapText="1"/>
    </xf>
    <xf numFmtId="0" fontId="7" fillId="15" borderId="9" xfId="0" applyFont="1" applyFill="1" applyBorder="1" applyAlignment="1">
      <alignment horizontal="center" vertical="center" wrapText="1"/>
    </xf>
    <xf numFmtId="0" fontId="7" fillId="15" borderId="17" xfId="0" applyFont="1" applyFill="1" applyBorder="1" applyAlignment="1">
      <alignment horizontal="center" vertical="center" wrapText="1"/>
    </xf>
    <xf numFmtId="0" fontId="7" fillId="15" borderId="17" xfId="0" applyFont="1" applyFill="1" applyBorder="1" applyAlignment="1">
      <alignment vertical="center" wrapText="1"/>
    </xf>
    <xf numFmtId="42" fontId="7" fillId="15" borderId="8" xfId="1" applyFont="1" applyFill="1" applyBorder="1" applyAlignment="1">
      <alignment vertical="center" wrapText="1"/>
    </xf>
    <xf numFmtId="0" fontId="0" fillId="15" borderId="1" xfId="0" applyFill="1" applyBorder="1" applyAlignment="1">
      <alignment horizontal="center" vertical="center" wrapText="1"/>
    </xf>
    <xf numFmtId="42" fontId="7" fillId="7" borderId="8" xfId="1" applyFont="1" applyFill="1" applyBorder="1" applyAlignment="1">
      <alignment vertical="center" wrapText="1"/>
    </xf>
    <xf numFmtId="0" fontId="7" fillId="18" borderId="8" xfId="0" applyFont="1" applyFill="1" applyBorder="1" applyAlignment="1">
      <alignment horizontal="center" vertical="center" wrapText="1"/>
    </xf>
    <xf numFmtId="0" fontId="7" fillId="15" borderId="11" xfId="0" applyFont="1" applyFill="1" applyBorder="1" applyAlignment="1">
      <alignment horizontal="center" vertical="center" wrapText="1"/>
    </xf>
    <xf numFmtId="0" fontId="7" fillId="15" borderId="17" xfId="0" applyFont="1" applyFill="1" applyBorder="1" applyAlignment="1">
      <alignment horizontal="center" vertical="center" wrapText="1"/>
    </xf>
    <xf numFmtId="0" fontId="7" fillId="15" borderId="9" xfId="0" applyFont="1" applyFill="1" applyBorder="1" applyAlignment="1">
      <alignment horizontal="center" vertical="center" wrapText="1"/>
    </xf>
    <xf numFmtId="0" fontId="7" fillId="15" borderId="12" xfId="0" applyFont="1" applyFill="1" applyBorder="1" applyAlignment="1">
      <alignment horizontal="center" vertical="center" wrapText="1"/>
    </xf>
    <xf numFmtId="0" fontId="7" fillId="15" borderId="8" xfId="0" applyFont="1" applyFill="1" applyBorder="1" applyAlignment="1">
      <alignment horizontal="center" vertical="center" wrapText="1"/>
    </xf>
    <xf numFmtId="0" fontId="7" fillId="15" borderId="1" xfId="0" applyFont="1" applyFill="1" applyBorder="1" applyAlignment="1">
      <alignment horizontal="center" vertical="center" wrapText="1"/>
    </xf>
    <xf numFmtId="42" fontId="7" fillId="7" borderId="11" xfId="1" applyFont="1" applyFill="1" applyBorder="1" applyAlignment="1">
      <alignment horizontal="center" vertical="center" wrapText="1"/>
    </xf>
    <xf numFmtId="42" fontId="7" fillId="7" borderId="8" xfId="1" applyFont="1" applyFill="1" applyBorder="1" applyAlignment="1">
      <alignment horizontal="center" vertical="center" wrapText="1"/>
    </xf>
    <xf numFmtId="42" fontId="7" fillId="15" borderId="11" xfId="1" applyFont="1" applyFill="1" applyBorder="1" applyAlignment="1">
      <alignment horizontal="center" vertical="center" wrapText="1"/>
    </xf>
    <xf numFmtId="42" fontId="7" fillId="15" borderId="17" xfId="1" applyFont="1" applyFill="1" applyBorder="1" applyAlignment="1">
      <alignment horizontal="center" vertical="center" wrapText="1"/>
    </xf>
    <xf numFmtId="42" fontId="7" fillId="15" borderId="8" xfId="1" applyFont="1" applyFill="1" applyBorder="1" applyAlignment="1">
      <alignment horizontal="center" vertical="center" wrapText="1"/>
    </xf>
    <xf numFmtId="42" fontId="7" fillId="9" borderId="11" xfId="1" applyFont="1" applyFill="1" applyBorder="1" applyAlignment="1">
      <alignment horizontal="center" vertical="center" wrapText="1"/>
    </xf>
    <xf numFmtId="42" fontId="7" fillId="9" borderId="8" xfId="1" applyFont="1" applyFill="1" applyBorder="1" applyAlignment="1">
      <alignment horizontal="center" vertical="center" wrapText="1"/>
    </xf>
    <xf numFmtId="0" fontId="0" fillId="9" borderId="8" xfId="0" applyFill="1" applyBorder="1" applyAlignment="1">
      <alignment horizontal="center" vertical="center" wrapText="1"/>
    </xf>
    <xf numFmtId="0" fontId="15" fillId="9" borderId="11" xfId="0" applyFont="1" applyFill="1" applyBorder="1" applyAlignment="1">
      <alignment horizontal="center" vertical="center" wrapText="1"/>
    </xf>
    <xf numFmtId="0" fontId="15" fillId="9" borderId="8" xfId="0" applyFont="1" applyFill="1" applyBorder="1" applyAlignment="1">
      <alignment horizontal="center" vertical="center" wrapText="1"/>
    </xf>
    <xf numFmtId="0" fontId="15" fillId="7" borderId="1" xfId="0" applyFont="1" applyFill="1" applyBorder="1" applyAlignment="1">
      <alignment horizontal="center" vertical="center" wrapText="1"/>
    </xf>
    <xf numFmtId="42" fontId="7" fillId="7" borderId="1" xfId="1" applyFont="1" applyFill="1" applyBorder="1" applyAlignment="1">
      <alignment horizontal="center" vertical="center" wrapText="1"/>
    </xf>
    <xf numFmtId="0" fontId="7" fillId="9" borderId="11"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3" borderId="23" xfId="0" applyFont="1" applyFill="1" applyBorder="1" applyAlignment="1">
      <alignment horizontal="center" vertical="center" wrapText="1"/>
    </xf>
    <xf numFmtId="164" fontId="15" fillId="11" borderId="17" xfId="0" applyNumberFormat="1" applyFont="1" applyFill="1" applyBorder="1" applyAlignment="1">
      <alignment horizontal="center" vertical="center" wrapText="1"/>
    </xf>
    <xf numFmtId="0" fontId="7" fillId="7" borderId="11"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7" fillId="15" borderId="17" xfId="0" applyFont="1" applyFill="1" applyBorder="1" applyAlignment="1">
      <alignment horizontal="center" vertical="center"/>
    </xf>
    <xf numFmtId="0" fontId="7" fillId="15" borderId="8" xfId="0" applyFont="1" applyFill="1" applyBorder="1" applyAlignment="1">
      <alignment horizontal="center" vertical="center"/>
    </xf>
    <xf numFmtId="0" fontId="0" fillId="15" borderId="8" xfId="0" applyFill="1" applyBorder="1" applyAlignment="1">
      <alignment horizontal="center" vertical="center" wrapText="1"/>
    </xf>
    <xf numFmtId="0" fontId="15" fillId="15" borderId="17" xfId="0" applyFont="1" applyFill="1" applyBorder="1" applyAlignment="1">
      <alignment horizontal="center" vertical="center" wrapText="1"/>
    </xf>
    <xf numFmtId="0" fontId="15" fillId="15" borderId="8" xfId="0" applyFont="1" applyFill="1" applyBorder="1" applyAlignment="1">
      <alignment horizontal="center" vertical="center" wrapText="1"/>
    </xf>
    <xf numFmtId="0" fontId="7" fillId="15" borderId="11" xfId="0" applyFont="1" applyFill="1" applyBorder="1" applyAlignment="1">
      <alignment horizontal="center" vertical="center"/>
    </xf>
    <xf numFmtId="0" fontId="11" fillId="4" borderId="11" xfId="0" applyFont="1" applyFill="1" applyBorder="1" applyAlignment="1">
      <alignment horizontal="center" vertical="center" wrapText="1"/>
    </xf>
    <xf numFmtId="0" fontId="7" fillId="19" borderId="12" xfId="0" applyFont="1" applyFill="1" applyBorder="1" applyAlignment="1">
      <alignment horizontal="center" vertical="center" wrapText="1"/>
    </xf>
    <xf numFmtId="0" fontId="7" fillId="19" borderId="8" xfId="0" applyFont="1" applyFill="1" applyBorder="1" applyAlignment="1">
      <alignment horizontal="center" vertical="center" wrapText="1"/>
    </xf>
    <xf numFmtId="0" fontId="7" fillId="19" borderId="8" xfId="0" applyFont="1" applyFill="1" applyBorder="1" applyAlignment="1">
      <alignment horizontal="center" vertical="center"/>
    </xf>
    <xf numFmtId="0" fontId="7" fillId="19" borderId="11" xfId="0" applyFont="1" applyFill="1" applyBorder="1" applyAlignment="1">
      <alignment horizontal="center" vertical="center" wrapText="1"/>
    </xf>
    <xf numFmtId="9" fontId="14" fillId="15" borderId="17" xfId="0" applyNumberFormat="1" applyFont="1" applyFill="1" applyBorder="1" applyAlignment="1">
      <alignment horizontal="center" vertical="center"/>
    </xf>
    <xf numFmtId="0" fontId="15" fillId="15" borderId="1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20" borderId="1" xfId="0" applyFont="1" applyFill="1" applyBorder="1" applyAlignment="1">
      <alignment horizontal="center" vertical="center" wrapText="1"/>
    </xf>
    <xf numFmtId="0" fontId="0" fillId="20" borderId="8" xfId="0" applyFill="1" applyBorder="1" applyAlignment="1">
      <alignment horizontal="center" vertical="center" wrapText="1"/>
    </xf>
    <xf numFmtId="0" fontId="15" fillId="20" borderId="8" xfId="0" applyFont="1" applyFill="1" applyBorder="1" applyAlignment="1">
      <alignment horizontal="center" vertical="center" wrapText="1"/>
    </xf>
    <xf numFmtId="0" fontId="0" fillId="20" borderId="1" xfId="0" applyFill="1" applyBorder="1" applyAlignment="1">
      <alignment horizontal="center" vertical="center" wrapText="1"/>
    </xf>
    <xf numFmtId="0" fontId="15" fillId="20" borderId="1" xfId="0" applyFont="1" applyFill="1" applyBorder="1" applyAlignment="1">
      <alignment horizontal="center" vertical="center" wrapText="1"/>
    </xf>
    <xf numFmtId="42" fontId="7" fillId="20" borderId="1" xfId="1"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15" borderId="1" xfId="0" applyFont="1" applyFill="1" applyBorder="1" applyAlignment="1">
      <alignment horizontal="center" vertical="center" wrapText="1"/>
    </xf>
    <xf numFmtId="3" fontId="18" fillId="0" borderId="0" xfId="0" applyNumberFormat="1" applyFont="1" applyFill="1" applyBorder="1" applyAlignment="1" applyProtection="1">
      <alignment horizontal="right" vertical="center"/>
    </xf>
    <xf numFmtId="164" fontId="15" fillId="11" borderId="1" xfId="0" applyNumberFormat="1" applyFont="1" applyFill="1" applyBorder="1" applyAlignment="1">
      <alignment horizontal="center" vertical="center" wrapText="1"/>
    </xf>
    <xf numFmtId="42" fontId="10" fillId="10" borderId="1" xfId="1" applyFont="1" applyFill="1" applyBorder="1" applyAlignment="1">
      <alignment horizontal="center" vertical="center" wrapText="1"/>
    </xf>
    <xf numFmtId="0" fontId="9" fillId="4" borderId="15" xfId="0" applyFont="1" applyFill="1" applyBorder="1" applyAlignment="1">
      <alignment horizontal="center" vertical="center" wrapText="1"/>
    </xf>
    <xf numFmtId="164" fontId="15" fillId="11" borderId="8" xfId="0" applyNumberFormat="1" applyFont="1" applyFill="1" applyBorder="1" applyAlignment="1">
      <alignment horizontal="center" vertical="center" wrapText="1"/>
    </xf>
    <xf numFmtId="42" fontId="7" fillId="18" borderId="8" xfId="1" applyFont="1" applyFill="1" applyBorder="1" applyAlignment="1">
      <alignment horizontal="center" vertical="center" wrapText="1"/>
    </xf>
    <xf numFmtId="42" fontId="10" fillId="10" borderId="36" xfId="1" applyFont="1" applyFill="1" applyBorder="1" applyAlignment="1">
      <alignment horizontal="center" vertical="center" wrapText="1"/>
    </xf>
    <xf numFmtId="42" fontId="11" fillId="4" borderId="1" xfId="1" applyFont="1" applyFill="1" applyBorder="1" applyAlignment="1">
      <alignment horizontal="center" vertical="center" wrapText="1"/>
    </xf>
    <xf numFmtId="0" fontId="21" fillId="0" borderId="34" xfId="0" applyFont="1" applyBorder="1" applyAlignment="1">
      <alignment vertical="center" wrapText="1"/>
    </xf>
    <xf numFmtId="0" fontId="7" fillId="3" borderId="0" xfId="0" applyFont="1" applyFill="1" applyBorder="1" applyAlignment="1">
      <alignment horizontal="center" vertical="center" wrapText="1"/>
    </xf>
    <xf numFmtId="42" fontId="11" fillId="21" borderId="1" xfId="1" applyFont="1" applyFill="1" applyBorder="1" applyAlignment="1">
      <alignment horizontal="center" vertical="center" wrapText="1"/>
    </xf>
    <xf numFmtId="0" fontId="9" fillId="3" borderId="1" xfId="0" applyFont="1" applyFill="1" applyBorder="1" applyAlignment="1">
      <alignment vertical="center" wrapText="1"/>
    </xf>
    <xf numFmtId="0" fontId="7" fillId="3" borderId="43"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7" fillId="11" borderId="1" xfId="0" applyFont="1" applyFill="1" applyBorder="1" applyAlignment="1">
      <alignment horizontal="center" vertical="center"/>
    </xf>
    <xf numFmtId="164" fontId="15" fillId="11" borderId="1" xfId="0" applyNumberFormat="1" applyFont="1" applyFill="1" applyBorder="1" applyAlignment="1">
      <alignment horizontal="center" vertical="center" wrapText="1"/>
    </xf>
    <xf numFmtId="0" fontId="7" fillId="11" borderId="1" xfId="0" applyFont="1" applyFill="1" applyBorder="1" applyAlignment="1">
      <alignment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justify" vertical="center" wrapText="1"/>
    </xf>
    <xf numFmtId="0" fontId="7" fillId="0" borderId="0" xfId="0" applyFont="1" applyBorder="1" applyAlignment="1">
      <alignment horizontal="center" vertical="center"/>
    </xf>
    <xf numFmtId="0" fontId="7" fillId="0" borderId="0" xfId="0" applyFont="1" applyBorder="1" applyAlignment="1">
      <alignment horizontal="justify" vertical="center" wrapText="1"/>
    </xf>
    <xf numFmtId="0" fontId="11" fillId="0" borderId="1" xfId="0" applyFont="1" applyBorder="1" applyAlignment="1">
      <alignment horizontal="center" vertical="center" wrapText="1"/>
    </xf>
    <xf numFmtId="164" fontId="7" fillId="0" borderId="1" xfId="0" applyNumberFormat="1" applyFont="1" applyBorder="1" applyAlignment="1">
      <alignment horizontal="center" vertical="center" wrapText="1"/>
    </xf>
    <xf numFmtId="0" fontId="15" fillId="11" borderId="1" xfId="0" applyNumberFormat="1" applyFont="1" applyFill="1" applyBorder="1" applyAlignment="1">
      <alignment horizontal="center" vertical="center" wrapText="1"/>
    </xf>
    <xf numFmtId="0" fontId="7" fillId="0" borderId="1" xfId="0" applyNumberFormat="1" applyFont="1" applyBorder="1" applyAlignment="1">
      <alignment horizontal="center" vertical="center" wrapText="1"/>
    </xf>
    <xf numFmtId="9" fontId="7" fillId="0" borderId="1" xfId="0" applyNumberFormat="1" applyFont="1" applyBorder="1" applyAlignment="1">
      <alignment horizontal="center" vertical="center" wrapText="1"/>
    </xf>
    <xf numFmtId="1" fontId="7" fillId="0" borderId="1" xfId="0" applyNumberFormat="1" applyFont="1" applyBorder="1" applyAlignment="1">
      <alignment horizontal="center" vertical="center" wrapText="1"/>
    </xf>
    <xf numFmtId="9" fontId="7" fillId="0" borderId="1" xfId="2" applyFont="1" applyBorder="1" applyAlignment="1">
      <alignment horizontal="center" vertical="center" wrapText="1"/>
    </xf>
    <xf numFmtId="9" fontId="7" fillId="0" borderId="1" xfId="2" applyNumberFormat="1" applyFont="1" applyBorder="1" applyAlignment="1">
      <alignment horizontal="center" vertical="center" wrapText="1"/>
    </xf>
    <xf numFmtId="0" fontId="11" fillId="9" borderId="1" xfId="0" applyFont="1" applyFill="1" applyBorder="1" applyAlignment="1">
      <alignment horizontal="center" vertical="center" wrapText="1"/>
    </xf>
    <xf numFmtId="0" fontId="11" fillId="9" borderId="1" xfId="0" applyFont="1" applyFill="1" applyBorder="1" applyAlignment="1">
      <alignment horizontal="center" vertical="center"/>
    </xf>
    <xf numFmtId="0" fontId="11" fillId="21" borderId="0" xfId="0" applyFont="1" applyFill="1" applyAlignment="1">
      <alignment horizontal="center" vertical="center"/>
    </xf>
    <xf numFmtId="0" fontId="11" fillId="21" borderId="1" xfId="0" applyFont="1" applyFill="1" applyBorder="1" applyAlignment="1">
      <alignment horizontal="center" vertical="center" wrapText="1"/>
    </xf>
    <xf numFmtId="0" fontId="11" fillId="21" borderId="1" xfId="0" applyFont="1" applyFill="1" applyBorder="1" applyAlignment="1">
      <alignment horizontal="center" vertical="center"/>
    </xf>
    <xf numFmtId="164"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5" fillId="9" borderId="1" xfId="0" applyNumberFormat="1" applyFont="1" applyFill="1" applyBorder="1" applyAlignment="1">
      <alignment horizontal="center" vertical="center" wrapText="1"/>
    </xf>
    <xf numFmtId="164" fontId="15" fillId="9" borderId="1" xfId="0" applyNumberFormat="1" applyFont="1" applyFill="1" applyBorder="1" applyAlignment="1">
      <alignment horizontal="center" vertical="center" wrapText="1"/>
    </xf>
    <xf numFmtId="164" fontId="7" fillId="0" borderId="1" xfId="0" applyNumberFormat="1" applyFont="1" applyBorder="1" applyAlignment="1">
      <alignment horizontal="justify" vertical="center" wrapText="1"/>
    </xf>
    <xf numFmtId="164" fontId="11" fillId="0" borderId="1" xfId="0" applyNumberFormat="1" applyFont="1" applyBorder="1" applyAlignment="1">
      <alignment horizontal="justify" vertical="center" wrapText="1"/>
    </xf>
    <xf numFmtId="42" fontId="11" fillId="22" borderId="11" xfId="1" applyFont="1" applyFill="1" applyBorder="1" applyAlignment="1">
      <alignment horizontal="center" vertical="center" wrapText="1"/>
    </xf>
    <xf numFmtId="0" fontId="7" fillId="20" borderId="11" xfId="0" applyFont="1" applyFill="1" applyBorder="1" applyAlignment="1">
      <alignment horizontal="center" vertical="center" wrapText="1"/>
    </xf>
    <xf numFmtId="0" fontId="15" fillId="20" borderId="11" xfId="0" applyFont="1" applyFill="1" applyBorder="1" applyAlignment="1">
      <alignment horizontal="center" vertical="center" wrapText="1"/>
    </xf>
    <xf numFmtId="42" fontId="11" fillId="20" borderId="1" xfId="1" applyFont="1" applyFill="1" applyBorder="1" applyAlignment="1">
      <alignment horizontal="center" vertical="center" wrapText="1"/>
    </xf>
    <xf numFmtId="0" fontId="7" fillId="20"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7" fillId="20" borderId="8" xfId="0" applyFont="1" applyFill="1" applyBorder="1" applyAlignment="1">
      <alignment horizontal="center" vertical="center" wrapText="1"/>
    </xf>
    <xf numFmtId="42" fontId="7" fillId="20" borderId="8" xfId="1" applyFont="1" applyFill="1" applyBorder="1" applyAlignment="1">
      <alignment vertical="center" wrapText="1"/>
    </xf>
    <xf numFmtId="0" fontId="7" fillId="20" borderId="2" xfId="0" applyFont="1" applyFill="1" applyBorder="1" applyAlignment="1">
      <alignment horizontal="center" vertical="center" wrapText="1"/>
    </xf>
    <xf numFmtId="0" fontId="9" fillId="22" borderId="15" xfId="0" applyFont="1" applyFill="1" applyBorder="1" applyAlignment="1">
      <alignment horizontal="center" vertical="center" wrapText="1"/>
    </xf>
    <xf numFmtId="42" fontId="11" fillId="22" borderId="1" xfId="1" applyFont="1" applyFill="1" applyBorder="1" applyAlignment="1">
      <alignment horizontal="center" vertical="center" wrapText="1"/>
    </xf>
    <xf numFmtId="42" fontId="7" fillId="22" borderId="1" xfId="1" applyFont="1" applyFill="1" applyBorder="1" applyAlignment="1">
      <alignment vertical="center" wrapText="1"/>
    </xf>
    <xf numFmtId="42" fontId="7" fillId="22" borderId="8" xfId="1" applyFont="1" applyFill="1" applyBorder="1" applyAlignment="1">
      <alignment vertical="center" wrapText="1"/>
    </xf>
    <xf numFmtId="0" fontId="7" fillId="22" borderId="2" xfId="0" applyFont="1" applyFill="1" applyBorder="1" applyAlignment="1">
      <alignment horizontal="center" vertical="center" wrapText="1"/>
    </xf>
    <xf numFmtId="42" fontId="7" fillId="22" borderId="1" xfId="1" applyFont="1" applyFill="1" applyBorder="1" applyAlignment="1">
      <alignment horizontal="center" vertical="center" wrapText="1"/>
    </xf>
    <xf numFmtId="42" fontId="7" fillId="22" borderId="8" xfId="1" applyFont="1" applyFill="1" applyBorder="1" applyAlignment="1">
      <alignment horizontal="center" vertical="center" wrapText="1"/>
    </xf>
    <xf numFmtId="0" fontId="7" fillId="22" borderId="11" xfId="0" applyFont="1" applyFill="1" applyBorder="1" applyAlignment="1">
      <alignment horizontal="center" vertical="center" wrapText="1"/>
    </xf>
    <xf numFmtId="0" fontId="7" fillId="20" borderId="8" xfId="0" applyFont="1" applyFill="1" applyBorder="1" applyAlignment="1">
      <alignment horizontal="justify" vertical="center" wrapText="1"/>
    </xf>
    <xf numFmtId="42" fontId="7" fillId="20" borderId="8" xfId="1" applyFont="1" applyFill="1" applyBorder="1" applyAlignment="1">
      <alignment horizontal="center" vertical="center" wrapText="1"/>
    </xf>
    <xf numFmtId="9" fontId="7" fillId="20" borderId="11" xfId="0" applyNumberFormat="1" applyFont="1" applyFill="1" applyBorder="1" applyAlignment="1">
      <alignment horizontal="center" vertical="center" wrapText="1"/>
    </xf>
    <xf numFmtId="0" fontId="7" fillId="13" borderId="23" xfId="0" applyFont="1" applyFill="1" applyBorder="1" applyAlignment="1">
      <alignment horizontal="center" vertical="center"/>
    </xf>
    <xf numFmtId="0" fontId="7" fillId="13" borderId="0" xfId="0" applyFont="1" applyFill="1" applyAlignment="1">
      <alignment horizontal="center" vertical="center"/>
    </xf>
    <xf numFmtId="0" fontId="7" fillId="3" borderId="0" xfId="0" applyFont="1" applyFill="1" applyAlignment="1">
      <alignment horizontal="center" vertical="center"/>
    </xf>
    <xf numFmtId="9" fontId="14" fillId="15" borderId="17" xfId="0" applyNumberFormat="1" applyFont="1" applyFill="1" applyBorder="1" applyAlignment="1">
      <alignment vertical="center"/>
    </xf>
    <xf numFmtId="0" fontId="0" fillId="20" borderId="3" xfId="0" applyFill="1" applyBorder="1" applyAlignment="1">
      <alignment horizontal="center" vertical="center" wrapText="1"/>
    </xf>
    <xf numFmtId="0" fontId="0" fillId="19" borderId="11" xfId="0" applyFill="1" applyBorder="1" applyAlignment="1">
      <alignment horizontal="center" vertical="center" wrapText="1"/>
    </xf>
    <xf numFmtId="0" fontId="10" fillId="3" borderId="0" xfId="0" applyFont="1" applyFill="1" applyBorder="1" applyAlignment="1">
      <alignment horizontal="center" vertical="center"/>
    </xf>
    <xf numFmtId="0" fontId="15" fillId="19" borderId="11" xfId="0" applyFont="1" applyFill="1" applyBorder="1" applyAlignment="1">
      <alignment horizontal="center" vertical="center" wrapText="1"/>
    </xf>
    <xf numFmtId="42" fontId="7" fillId="19" borderId="11" xfId="1" applyFont="1" applyFill="1" applyBorder="1" applyAlignment="1">
      <alignment horizontal="center" vertical="center" wrapText="1"/>
    </xf>
    <xf numFmtId="42" fontId="7" fillId="19" borderId="12" xfId="1" applyFont="1" applyFill="1" applyBorder="1" applyAlignment="1">
      <alignment horizontal="center" vertical="center" wrapText="1"/>
    </xf>
    <xf numFmtId="42" fontId="7" fillId="19" borderId="17" xfId="1" applyFont="1" applyFill="1" applyBorder="1" applyAlignment="1">
      <alignment horizontal="center" vertical="center" wrapText="1"/>
    </xf>
    <xf numFmtId="9" fontId="7" fillId="0" borderId="1" xfId="2" applyFont="1" applyBorder="1" applyAlignment="1">
      <alignment horizontal="justify" vertical="center" wrapText="1"/>
    </xf>
    <xf numFmtId="0" fontId="7" fillId="20" borderId="1" xfId="0" applyFont="1" applyFill="1" applyBorder="1" applyAlignment="1">
      <alignment horizontal="justify" vertical="center" wrapText="1"/>
    </xf>
    <xf numFmtId="0" fontId="7" fillId="20" borderId="8" xfId="0" applyFont="1" applyFill="1" applyBorder="1" applyAlignment="1">
      <alignment horizontal="center" vertical="center" wrapText="1"/>
    </xf>
    <xf numFmtId="9" fontId="7" fillId="20" borderId="11" xfId="2" applyFont="1" applyFill="1" applyBorder="1" applyAlignment="1">
      <alignment horizontal="center" vertical="center" wrapText="1"/>
    </xf>
    <xf numFmtId="9" fontId="11" fillId="0" borderId="1" xfId="0" applyNumberFormat="1" applyFont="1" applyBorder="1" applyAlignment="1">
      <alignment horizontal="center" vertical="center" wrapText="1"/>
    </xf>
    <xf numFmtId="9" fontId="11" fillId="0" borderId="1" xfId="2" applyFont="1" applyBorder="1" applyAlignment="1">
      <alignment horizontal="center" vertical="center" wrapText="1"/>
    </xf>
    <xf numFmtId="42" fontId="7" fillId="20" borderId="8" xfId="1" applyFont="1" applyFill="1" applyBorder="1" applyAlignment="1">
      <alignment horizontal="center" vertical="center" wrapText="1"/>
    </xf>
    <xf numFmtId="9" fontId="7" fillId="20" borderId="1" xfId="2" applyFont="1" applyFill="1" applyBorder="1" applyAlignment="1">
      <alignment horizontal="center" vertical="center" wrapText="1"/>
    </xf>
    <xf numFmtId="42" fontId="7" fillId="0" borderId="1" xfId="0" applyNumberFormat="1" applyFont="1" applyBorder="1" applyAlignment="1">
      <alignment horizontal="center" vertical="center" wrapText="1"/>
    </xf>
    <xf numFmtId="0" fontId="7" fillId="9" borderId="1" xfId="1" applyNumberFormat="1" applyFont="1" applyFill="1" applyBorder="1" applyAlignment="1">
      <alignment horizontal="center" vertical="center" wrapText="1"/>
    </xf>
    <xf numFmtId="0" fontId="7" fillId="18" borderId="1" xfId="1" applyNumberFormat="1" applyFont="1" applyFill="1" applyBorder="1" applyAlignment="1">
      <alignment horizontal="center" vertical="center" wrapText="1"/>
    </xf>
    <xf numFmtId="0" fontId="7" fillId="20" borderId="1" xfId="0" applyNumberFormat="1" applyFont="1" applyFill="1" applyBorder="1" applyAlignment="1">
      <alignment horizontal="center" vertical="center" wrapText="1"/>
    </xf>
    <xf numFmtId="0" fontId="7" fillId="19" borderId="1" xfId="1" applyNumberFormat="1" applyFont="1" applyFill="1" applyBorder="1" applyAlignment="1">
      <alignment horizontal="center" vertical="center" wrapText="1"/>
    </xf>
    <xf numFmtId="0" fontId="7" fillId="19" borderId="11" xfId="1" applyNumberFormat="1" applyFont="1" applyFill="1" applyBorder="1" applyAlignment="1">
      <alignment horizontal="center" vertical="center" wrapText="1"/>
    </xf>
    <xf numFmtId="0" fontId="7" fillId="7" borderId="1" xfId="2" applyNumberFormat="1" applyFont="1" applyFill="1" applyBorder="1" applyAlignment="1">
      <alignment horizontal="center" vertical="center" wrapText="1"/>
    </xf>
    <xf numFmtId="0" fontId="7" fillId="7" borderId="1" xfId="0" applyNumberFormat="1" applyFont="1" applyFill="1" applyBorder="1" applyAlignment="1">
      <alignment horizontal="center" vertical="center" wrapText="1"/>
    </xf>
    <xf numFmtId="0" fontId="7" fillId="15" borderId="2" xfId="0" applyNumberFormat="1" applyFont="1" applyFill="1" applyBorder="1" applyAlignment="1">
      <alignment horizontal="center" vertical="center" wrapText="1"/>
    </xf>
    <xf numFmtId="0" fontId="7" fillId="15" borderId="8" xfId="0" applyNumberFormat="1"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1" xfId="0" applyFont="1" applyFill="1" applyBorder="1" applyAlignment="1">
      <alignment horizontal="justify" vertical="center" wrapText="1"/>
    </xf>
    <xf numFmtId="0" fontId="7" fillId="5" borderId="11"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11" fillId="20" borderId="1" xfId="1" applyNumberFormat="1" applyFont="1" applyFill="1" applyBorder="1" applyAlignment="1">
      <alignment horizontal="center" vertical="center" wrapText="1"/>
    </xf>
    <xf numFmtId="9" fontId="11" fillId="20" borderId="1" xfId="2" applyFont="1" applyFill="1" applyBorder="1" applyAlignment="1">
      <alignment horizontal="center" vertical="center" wrapText="1"/>
    </xf>
    <xf numFmtId="0" fontId="10" fillId="4" borderId="1" xfId="0" applyFont="1" applyFill="1" applyBorder="1" applyAlignment="1">
      <alignment vertical="center" wrapText="1"/>
    </xf>
    <xf numFmtId="164" fontId="7" fillId="9" borderId="1" xfId="0" applyNumberFormat="1" applyFont="1" applyFill="1" applyBorder="1" applyAlignment="1">
      <alignment vertical="center" wrapText="1"/>
    </xf>
    <xf numFmtId="0" fontId="0" fillId="0" borderId="1" xfId="0" applyBorder="1" applyAlignment="1">
      <alignment horizontal="center"/>
    </xf>
    <xf numFmtId="0" fontId="31" fillId="22" borderId="1" xfId="0" applyFont="1" applyFill="1" applyBorder="1" applyAlignment="1">
      <alignment horizontal="center"/>
    </xf>
    <xf numFmtId="0" fontId="31" fillId="22" borderId="13" xfId="0" applyFont="1" applyFill="1" applyBorder="1"/>
    <xf numFmtId="0" fontId="0" fillId="0" borderId="49" xfId="0" applyBorder="1"/>
    <xf numFmtId="0" fontId="31" fillId="22" borderId="13" xfId="0" applyFont="1" applyFill="1" applyBorder="1" applyAlignment="1">
      <alignment horizontal="center"/>
    </xf>
    <xf numFmtId="0" fontId="0" fillId="0" borderId="19" xfId="0" applyBorder="1"/>
    <xf numFmtId="0" fontId="0" fillId="0" borderId="7" xfId="0" applyBorder="1" applyAlignment="1">
      <alignment horizontal="center"/>
    </xf>
    <xf numFmtId="9" fontId="0" fillId="0" borderId="1" xfId="0" applyNumberFormat="1" applyBorder="1" applyAlignment="1">
      <alignment horizontal="center"/>
    </xf>
    <xf numFmtId="9" fontId="0" fillId="0" borderId="1" xfId="2" applyFont="1" applyBorder="1" applyAlignment="1">
      <alignment horizontal="center"/>
    </xf>
    <xf numFmtId="9" fontId="0" fillId="0" borderId="7" xfId="0" applyNumberFormat="1" applyBorder="1" applyAlignment="1">
      <alignment horizontal="center"/>
    </xf>
    <xf numFmtId="3" fontId="0" fillId="0" borderId="7" xfId="0" applyNumberFormat="1" applyBorder="1" applyAlignment="1">
      <alignment horizontal="center"/>
    </xf>
    <xf numFmtId="3" fontId="0" fillId="0" borderId="7" xfId="4" applyNumberFormat="1" applyFont="1" applyBorder="1" applyAlignment="1">
      <alignment horizontal="center" vertical="center"/>
    </xf>
    <xf numFmtId="9" fontId="0" fillId="0" borderId="10" xfId="2" applyFont="1" applyBorder="1" applyAlignment="1">
      <alignment horizontal="center"/>
    </xf>
    <xf numFmtId="9" fontId="0" fillId="0" borderId="10" xfId="0" applyNumberFormat="1" applyBorder="1" applyAlignment="1">
      <alignment horizontal="center"/>
    </xf>
    <xf numFmtId="0" fontId="31" fillId="22" borderId="50" xfId="0" applyFont="1" applyFill="1" applyBorder="1"/>
    <xf numFmtId="0" fontId="0" fillId="0" borderId="13" xfId="0" applyBorder="1" applyAlignment="1">
      <alignment horizontal="center"/>
    </xf>
    <xf numFmtId="0" fontId="0" fillId="0" borderId="11" xfId="0" applyBorder="1" applyAlignment="1">
      <alignment horizontal="center"/>
    </xf>
    <xf numFmtId="9" fontId="0" fillId="22" borderId="1" xfId="0" applyNumberFormat="1" applyFill="1" applyBorder="1" applyAlignment="1">
      <alignment horizontal="center"/>
    </xf>
    <xf numFmtId="3" fontId="0" fillId="22" borderId="7" xfId="0" applyNumberFormat="1" applyFill="1" applyBorder="1" applyAlignment="1">
      <alignment horizontal="center"/>
    </xf>
    <xf numFmtId="0" fontId="0" fillId="23" borderId="1" xfId="0" applyFill="1" applyBorder="1" applyAlignment="1">
      <alignment horizontal="center"/>
    </xf>
    <xf numFmtId="0" fontId="0" fillId="23" borderId="7" xfId="0" applyFill="1" applyBorder="1" applyAlignment="1">
      <alignment horizontal="center"/>
    </xf>
    <xf numFmtId="0" fontId="0" fillId="23" borderId="44" xfId="0" applyFill="1" applyBorder="1" applyAlignment="1">
      <alignment horizontal="center"/>
    </xf>
    <xf numFmtId="0" fontId="0" fillId="23" borderId="11" xfId="0" applyFill="1" applyBorder="1" applyAlignment="1">
      <alignment horizontal="center"/>
    </xf>
    <xf numFmtId="0" fontId="0" fillId="23" borderId="13" xfId="0" applyFill="1" applyBorder="1" applyAlignment="1">
      <alignment horizontal="center"/>
    </xf>
    <xf numFmtId="0" fontId="0" fillId="23" borderId="52" xfId="0" applyFill="1" applyBorder="1" applyAlignment="1">
      <alignment horizontal="center"/>
    </xf>
    <xf numFmtId="3" fontId="0" fillId="22" borderId="3" xfId="0" applyNumberFormat="1" applyFill="1" applyBorder="1" applyAlignment="1">
      <alignment horizontal="center"/>
    </xf>
    <xf numFmtId="9" fontId="0" fillId="0" borderId="44" xfId="0" applyNumberFormat="1" applyBorder="1" applyAlignment="1">
      <alignment horizontal="center"/>
    </xf>
    <xf numFmtId="9" fontId="0" fillId="0" borderId="11" xfId="0" applyNumberFormat="1" applyBorder="1" applyAlignment="1">
      <alignment horizontal="center"/>
    </xf>
    <xf numFmtId="9" fontId="0" fillId="22" borderId="3" xfId="0" applyNumberFormat="1" applyFill="1" applyBorder="1" applyAlignment="1">
      <alignment horizontal="center"/>
    </xf>
    <xf numFmtId="0" fontId="0" fillId="22" borderId="3" xfId="0" applyFill="1" applyBorder="1" applyAlignment="1">
      <alignment horizontal="center"/>
    </xf>
    <xf numFmtId="9" fontId="0" fillId="22" borderId="3" xfId="0" applyNumberFormat="1" applyFill="1" applyBorder="1" applyAlignment="1">
      <alignment horizontal="center" vertical="center"/>
    </xf>
    <xf numFmtId="0" fontId="0" fillId="22" borderId="51" xfId="0" applyFill="1" applyBorder="1" applyAlignment="1">
      <alignment horizontal="center"/>
    </xf>
    <xf numFmtId="0" fontId="0" fillId="0" borderId="35" xfId="0" applyBorder="1"/>
    <xf numFmtId="0" fontId="0" fillId="0" borderId="0" xfId="0" applyBorder="1"/>
    <xf numFmtId="0" fontId="0" fillId="0" borderId="54" xfId="0" applyBorder="1"/>
    <xf numFmtId="0" fontId="0" fillId="0" borderId="45" xfId="0" applyBorder="1"/>
    <xf numFmtId="0" fontId="0" fillId="0" borderId="55" xfId="0" applyBorder="1"/>
    <xf numFmtId="42" fontId="7" fillId="7" borderId="1" xfId="1" applyFont="1" applyFill="1" applyBorder="1" applyAlignment="1">
      <alignment horizontal="center" vertical="center" wrapText="1"/>
    </xf>
    <xf numFmtId="164" fontId="15" fillId="11" borderId="1" xfId="0" applyNumberFormat="1" applyFont="1" applyFill="1" applyBorder="1" applyAlignment="1">
      <alignment horizontal="center" vertical="center" wrapText="1"/>
    </xf>
    <xf numFmtId="42" fontId="7" fillId="20" borderId="1" xfId="0" applyNumberFormat="1" applyFont="1" applyFill="1" applyBorder="1" applyAlignment="1">
      <alignment horizontal="center" vertical="center" wrapText="1"/>
    </xf>
    <xf numFmtId="42" fontId="7" fillId="15" borderId="8" xfId="1" applyFont="1" applyFill="1" applyBorder="1" applyAlignment="1">
      <alignment horizontal="center" vertical="center" wrapText="1"/>
    </xf>
    <xf numFmtId="9" fontId="11" fillId="0" borderId="1" xfId="2" applyNumberFormat="1" applyFont="1" applyBorder="1" applyAlignment="1">
      <alignment horizontal="center" vertical="center" wrapText="1"/>
    </xf>
    <xf numFmtId="44" fontId="7" fillId="9" borderId="1" xfId="1" applyNumberFormat="1" applyFont="1" applyFill="1" applyBorder="1" applyAlignment="1">
      <alignment horizontal="center" vertical="center" wrapText="1"/>
    </xf>
    <xf numFmtId="164" fontId="15" fillId="11" borderId="1" xfId="0" applyNumberFormat="1" applyFont="1" applyFill="1" applyBorder="1" applyAlignment="1">
      <alignment horizontal="center" vertical="center" wrapText="1"/>
    </xf>
    <xf numFmtId="0" fontId="7" fillId="13" borderId="1" xfId="0" applyFont="1" applyFill="1" applyBorder="1" applyAlignment="1">
      <alignment horizontal="center" vertical="center" wrapText="1"/>
    </xf>
    <xf numFmtId="42" fontId="7" fillId="13" borderId="1" xfId="1" applyFont="1" applyFill="1" applyBorder="1" applyAlignment="1">
      <alignment horizontal="center" vertical="center" wrapText="1"/>
    </xf>
    <xf numFmtId="42" fontId="11" fillId="22" borderId="1" xfId="1" applyFont="1" applyFill="1" applyBorder="1" applyAlignment="1">
      <alignment horizontal="center" vertical="center" wrapText="1"/>
    </xf>
    <xf numFmtId="0" fontId="7" fillId="15" borderId="11" xfId="0" applyFont="1" applyFill="1" applyBorder="1" applyAlignment="1">
      <alignment horizontal="center" vertical="center" wrapText="1"/>
    </xf>
    <xf numFmtId="42" fontId="7" fillId="15" borderId="11" xfId="1" applyFont="1" applyFill="1" applyBorder="1" applyAlignment="1">
      <alignment horizontal="center" vertical="center" wrapText="1"/>
    </xf>
    <xf numFmtId="42" fontId="7" fillId="15" borderId="8" xfId="1" applyFont="1" applyFill="1" applyBorder="1" applyAlignment="1">
      <alignment horizontal="center" vertical="center" wrapText="1"/>
    </xf>
    <xf numFmtId="42" fontId="7" fillId="15" borderId="17" xfId="1" applyFont="1" applyFill="1" applyBorder="1" applyAlignment="1">
      <alignment horizontal="center" vertical="center" wrapText="1"/>
    </xf>
    <xf numFmtId="0" fontId="15" fillId="15" borderId="11" xfId="0" applyFont="1" applyFill="1" applyBorder="1" applyAlignment="1">
      <alignment horizontal="center" vertical="center" wrapText="1"/>
    </xf>
    <xf numFmtId="0" fontId="0" fillId="15" borderId="8" xfId="0" applyFill="1" applyBorder="1" applyAlignment="1">
      <alignment horizontal="center" vertical="center" wrapText="1"/>
    </xf>
    <xf numFmtId="164" fontId="15" fillId="11" borderId="1" xfId="0" applyNumberFormat="1" applyFont="1" applyFill="1" applyBorder="1" applyAlignment="1">
      <alignment horizontal="center" vertical="center" wrapText="1"/>
    </xf>
    <xf numFmtId="42" fontId="11" fillId="22" borderId="1" xfId="1" applyFont="1" applyFill="1" applyBorder="1" applyAlignment="1">
      <alignment horizontal="center" vertical="center" wrapText="1"/>
    </xf>
    <xf numFmtId="0" fontId="7" fillId="13" borderId="1" xfId="0" applyFont="1" applyFill="1" applyBorder="1" applyAlignment="1">
      <alignment horizontal="center" vertical="center"/>
    </xf>
    <xf numFmtId="0" fontId="7" fillId="13" borderId="1" xfId="0" applyFont="1" applyFill="1" applyBorder="1" applyAlignment="1">
      <alignment horizontal="center" vertical="center" wrapText="1"/>
    </xf>
    <xf numFmtId="42" fontId="7" fillId="13" borderId="1" xfId="1" applyFont="1" applyFill="1" applyBorder="1" applyAlignment="1">
      <alignment horizontal="center" vertical="center" wrapText="1"/>
    </xf>
    <xf numFmtId="0" fontId="0" fillId="13" borderId="1" xfId="0" applyFill="1" applyBorder="1" applyAlignment="1">
      <alignment horizontal="center" vertical="center" wrapText="1"/>
    </xf>
    <xf numFmtId="0" fontId="15" fillId="13" borderId="1" xfId="0" applyFont="1" applyFill="1" applyBorder="1" applyAlignment="1">
      <alignment horizontal="center" vertical="center" wrapText="1"/>
    </xf>
    <xf numFmtId="42" fontId="7" fillId="20" borderId="1" xfId="1" applyFont="1" applyFill="1" applyBorder="1" applyAlignment="1">
      <alignment horizontal="center" vertical="center" wrapText="1"/>
    </xf>
    <xf numFmtId="0" fontId="7" fillId="20" borderId="8" xfId="0" applyFont="1" applyFill="1" applyBorder="1" applyAlignment="1">
      <alignment horizontal="center" vertical="center" wrapText="1"/>
    </xf>
    <xf numFmtId="42" fontId="7" fillId="20" borderId="12" xfId="0" applyNumberFormat="1" applyFont="1" applyFill="1" applyBorder="1" applyAlignment="1">
      <alignment horizontal="center" vertical="center" wrapText="1"/>
    </xf>
    <xf numFmtId="49" fontId="25" fillId="10" borderId="25" xfId="0" applyNumberFormat="1" applyFont="1" applyFill="1" applyBorder="1" applyAlignment="1">
      <alignment vertical="center"/>
    </xf>
    <xf numFmtId="0" fontId="10" fillId="10" borderId="20" xfId="1" applyNumberFormat="1" applyFont="1" applyFill="1" applyBorder="1" applyAlignment="1">
      <alignment horizontal="center" vertical="center" wrapText="1"/>
    </xf>
    <xf numFmtId="0" fontId="9" fillId="24" borderId="1" xfId="0" applyFont="1" applyFill="1" applyBorder="1" applyAlignment="1">
      <alignment horizontal="justify" vertical="center" wrapText="1"/>
    </xf>
    <xf numFmtId="0" fontId="9" fillId="24" borderId="1" xfId="0" applyFont="1" applyFill="1" applyBorder="1" applyAlignment="1">
      <alignment horizontal="center" vertical="center" wrapText="1"/>
    </xf>
    <xf numFmtId="0" fontId="33" fillId="0" borderId="1" xfId="0" applyFont="1" applyBorder="1" applyAlignment="1">
      <alignment horizontal="justify" vertical="center" wrapText="1"/>
    </xf>
    <xf numFmtId="0" fontId="33" fillId="0" borderId="1" xfId="0" applyFont="1" applyBorder="1" applyAlignment="1">
      <alignment horizontal="center" vertical="center" wrapText="1"/>
    </xf>
    <xf numFmtId="10" fontId="33" fillId="0" borderId="1" xfId="2" applyNumberFormat="1" applyFont="1" applyBorder="1" applyAlignment="1">
      <alignment horizontal="center" vertical="center" wrapText="1"/>
    </xf>
    <xf numFmtId="9" fontId="33" fillId="0" borderId="1" xfId="2" applyFont="1" applyBorder="1" applyAlignment="1">
      <alignment horizontal="center" vertical="center" wrapText="1"/>
    </xf>
    <xf numFmtId="42" fontId="33" fillId="0" borderId="0" xfId="1" applyFont="1" applyAlignment="1">
      <alignment horizontal="center" vertical="center" wrapText="1"/>
    </xf>
    <xf numFmtId="9" fontId="33" fillId="0" borderId="1" xfId="0" applyNumberFormat="1" applyFont="1" applyBorder="1" applyAlignment="1">
      <alignment horizontal="center" vertical="center" wrapText="1"/>
    </xf>
    <xf numFmtId="2" fontId="7" fillId="0" borderId="0" xfId="1" applyNumberFormat="1" applyFont="1" applyAlignment="1">
      <alignment horizontal="center" vertical="center" wrapText="1"/>
    </xf>
    <xf numFmtId="42" fontId="7" fillId="0" borderId="1" xfId="1" applyFont="1" applyBorder="1" applyAlignment="1">
      <alignment horizontal="center" vertical="center" wrapText="1"/>
    </xf>
    <xf numFmtId="42" fontId="7" fillId="24" borderId="1" xfId="1" applyFont="1" applyFill="1" applyBorder="1" applyAlignment="1">
      <alignment horizontal="center" vertical="center" wrapText="1"/>
    </xf>
    <xf numFmtId="42" fontId="35" fillId="24" borderId="1" xfId="1" applyFont="1" applyFill="1" applyBorder="1" applyAlignment="1">
      <alignment horizontal="center" vertical="center" wrapText="1"/>
    </xf>
    <xf numFmtId="42" fontId="11" fillId="24" borderId="1" xfId="1" applyFont="1" applyFill="1" applyBorder="1" applyAlignment="1">
      <alignment horizontal="center" vertical="center" wrapText="1"/>
    </xf>
    <xf numFmtId="0" fontId="7" fillId="0" borderId="1" xfId="1" applyNumberFormat="1" applyFont="1" applyBorder="1" applyAlignment="1">
      <alignment horizontal="center" vertical="center" wrapText="1"/>
    </xf>
    <xf numFmtId="9" fontId="30" fillId="0" borderId="0" xfId="2" applyFont="1" applyAlignment="1">
      <alignment horizontal="center" vertical="center" wrapText="1"/>
    </xf>
    <xf numFmtId="9" fontId="34" fillId="24" borderId="1" xfId="1" applyNumberFormat="1" applyFont="1" applyFill="1" applyBorder="1" applyAlignment="1">
      <alignment horizontal="center" vertical="center" wrapText="1"/>
    </xf>
    <xf numFmtId="3" fontId="3" fillId="22" borderId="3" xfId="6" applyNumberFormat="1" applyFill="1" applyBorder="1" applyAlignment="1">
      <alignment horizontal="center"/>
    </xf>
    <xf numFmtId="42" fontId="7" fillId="7" borderId="1" xfId="1" applyFont="1" applyFill="1" applyBorder="1" applyAlignment="1">
      <alignment horizontal="center" vertical="center" wrapText="1"/>
    </xf>
    <xf numFmtId="42" fontId="7" fillId="7" borderId="11" xfId="1" applyFont="1" applyFill="1" applyBorder="1" applyAlignment="1">
      <alignment horizontal="center" vertical="center" wrapText="1"/>
    </xf>
    <xf numFmtId="42" fontId="7" fillId="7" borderId="8" xfId="1" applyFont="1" applyFill="1" applyBorder="1" applyAlignment="1">
      <alignment horizontal="center" vertical="center" wrapText="1"/>
    </xf>
    <xf numFmtId="164" fontId="15" fillId="11" borderId="1" xfId="0" applyNumberFormat="1" applyFont="1" applyFill="1" applyBorder="1" applyAlignment="1">
      <alignment horizontal="center" vertical="center" wrapText="1"/>
    </xf>
    <xf numFmtId="42" fontId="7" fillId="13" borderId="1" xfId="1" applyFont="1" applyFill="1" applyBorder="1" applyAlignment="1">
      <alignment horizontal="center" vertical="center" wrapText="1"/>
    </xf>
    <xf numFmtId="42" fontId="11" fillId="22" borderId="1" xfId="1" applyFont="1" applyFill="1" applyBorder="1" applyAlignment="1">
      <alignment horizontal="center" vertical="center" wrapText="1"/>
    </xf>
    <xf numFmtId="42" fontId="7" fillId="20" borderId="11" xfId="1" applyFont="1" applyFill="1" applyBorder="1" applyAlignment="1">
      <alignment horizontal="center" vertical="center" wrapText="1"/>
    </xf>
    <xf numFmtId="42" fontId="7" fillId="20" borderId="17" xfId="1" applyFont="1" applyFill="1" applyBorder="1" applyAlignment="1">
      <alignment horizontal="center" vertical="center" wrapText="1"/>
    </xf>
    <xf numFmtId="42" fontId="7" fillId="20" borderId="8" xfId="1" applyFont="1" applyFill="1" applyBorder="1" applyAlignment="1">
      <alignment horizontal="center" vertical="center" wrapText="1"/>
    </xf>
    <xf numFmtId="10" fontId="7" fillId="22" borderId="8" xfId="2" applyNumberFormat="1" applyFont="1" applyFill="1" applyBorder="1" applyAlignment="1">
      <alignment vertical="center" wrapText="1"/>
    </xf>
    <xf numFmtId="10" fontId="11" fillId="22" borderId="1" xfId="2" applyNumberFormat="1" applyFont="1" applyFill="1" applyBorder="1" applyAlignment="1">
      <alignment horizontal="center" vertical="center" wrapText="1"/>
    </xf>
    <xf numFmtId="164" fontId="15" fillId="9" borderId="1" xfId="0" applyNumberFormat="1" applyFont="1" applyFill="1" applyBorder="1" applyAlignment="1">
      <alignment horizontal="center" vertical="center" wrapText="1"/>
    </xf>
    <xf numFmtId="42" fontId="11" fillId="22" borderId="1" xfId="1" applyFont="1" applyFill="1" applyBorder="1" applyAlignment="1">
      <alignment horizontal="center" vertical="center" wrapText="1"/>
    </xf>
    <xf numFmtId="0" fontId="7" fillId="13" borderId="1" xfId="0" applyFont="1" applyFill="1" applyBorder="1" applyAlignment="1">
      <alignment horizontal="center" vertical="center"/>
    </xf>
    <xf numFmtId="0" fontId="7" fillId="13" borderId="1" xfId="0" applyFont="1" applyFill="1" applyBorder="1" applyAlignment="1">
      <alignment horizontal="center" vertical="center" wrapText="1"/>
    </xf>
    <xf numFmtId="42" fontId="7" fillId="13" borderId="1" xfId="1" applyFont="1" applyFill="1" applyBorder="1" applyAlignment="1">
      <alignment horizontal="center" vertical="center" wrapText="1"/>
    </xf>
    <xf numFmtId="0" fontId="15" fillId="13" borderId="1" xfId="0" applyFont="1" applyFill="1" applyBorder="1" applyAlignment="1">
      <alignment horizontal="center" vertical="center" wrapText="1"/>
    </xf>
    <xf numFmtId="41" fontId="7" fillId="20" borderId="1" xfId="5" applyFont="1" applyFill="1" applyBorder="1" applyAlignment="1">
      <alignment horizontal="center" vertical="center" wrapText="1"/>
    </xf>
    <xf numFmtId="42" fontId="7" fillId="15" borderId="17" xfId="1" applyFont="1" applyFill="1" applyBorder="1" applyAlignment="1">
      <alignment horizontal="center" vertical="center" wrapText="1"/>
    </xf>
    <xf numFmtId="0" fontId="7" fillId="13" borderId="8"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7" fillId="13" borderId="1" xfId="0" applyFont="1" applyFill="1" applyBorder="1" applyAlignment="1">
      <alignment horizontal="center" vertical="center"/>
    </xf>
    <xf numFmtId="42" fontId="7" fillId="13" borderId="1" xfId="1" applyFont="1" applyFill="1" applyBorder="1" applyAlignment="1">
      <alignment horizontal="center" vertical="center" wrapText="1"/>
    </xf>
    <xf numFmtId="0" fontId="15" fillId="13" borderId="1" xfId="0" applyFont="1" applyFill="1" applyBorder="1" applyAlignment="1">
      <alignment horizontal="center" vertical="center" wrapText="1"/>
    </xf>
    <xf numFmtId="42" fontId="11" fillId="22" borderId="1" xfId="1" applyFont="1" applyFill="1" applyBorder="1" applyAlignment="1">
      <alignment horizontal="center" vertical="center" wrapText="1"/>
    </xf>
    <xf numFmtId="42" fontId="7" fillId="20" borderId="11" xfId="1" applyFont="1" applyFill="1" applyBorder="1" applyAlignment="1">
      <alignment horizontal="center" vertical="center" wrapText="1"/>
    </xf>
    <xf numFmtId="42" fontId="7" fillId="20" borderId="8" xfId="1" applyFont="1" applyFill="1" applyBorder="1" applyAlignment="1">
      <alignment horizontal="center" vertical="center" wrapText="1"/>
    </xf>
    <xf numFmtId="42" fontId="7" fillId="7" borderId="1" xfId="1" applyFont="1" applyFill="1" applyBorder="1" applyAlignment="1">
      <alignment horizontal="center" vertical="center" wrapText="1"/>
    </xf>
    <xf numFmtId="3" fontId="0" fillId="0" borderId="0" xfId="0" applyNumberFormat="1"/>
    <xf numFmtId="3" fontId="40" fillId="0" borderId="1" xfId="0" applyNumberFormat="1" applyFont="1" applyBorder="1" applyAlignment="1">
      <alignment horizontal="center"/>
    </xf>
    <xf numFmtId="0" fontId="40" fillId="0" borderId="1" xfId="0" applyFont="1" applyBorder="1" applyAlignment="1">
      <alignment horizontal="center"/>
    </xf>
    <xf numFmtId="9" fontId="40" fillId="0" borderId="13" xfId="2" applyFont="1" applyBorder="1" applyAlignment="1">
      <alignment horizontal="center"/>
    </xf>
    <xf numFmtId="0" fontId="39" fillId="22" borderId="50" xfId="0" applyFont="1" applyFill="1" applyBorder="1"/>
    <xf numFmtId="9" fontId="40" fillId="25" borderId="51" xfId="2" applyFont="1" applyFill="1" applyBorder="1" applyAlignment="1">
      <alignment horizontal="center"/>
    </xf>
    <xf numFmtId="0" fontId="10" fillId="0" borderId="49" xfId="0" applyFont="1" applyBorder="1"/>
    <xf numFmtId="3" fontId="39" fillId="22" borderId="3" xfId="0" applyNumberFormat="1" applyFont="1" applyFill="1" applyBorder="1" applyAlignment="1">
      <alignment horizontal="center"/>
    </xf>
    <xf numFmtId="3" fontId="40" fillId="5" borderId="1" xfId="0" applyNumberFormat="1" applyFont="1" applyFill="1" applyBorder="1" applyAlignment="1">
      <alignment horizontal="center"/>
    </xf>
    <xf numFmtId="2" fontId="7" fillId="15" borderId="1" xfId="1" applyNumberFormat="1" applyFont="1" applyFill="1" applyBorder="1" applyAlignment="1">
      <alignment vertical="center" wrapText="1"/>
    </xf>
    <xf numFmtId="2" fontId="7" fillId="15" borderId="1" xfId="1" applyNumberFormat="1" applyFont="1" applyFill="1" applyBorder="1" applyAlignment="1">
      <alignment horizontal="center" vertical="center" wrapText="1"/>
    </xf>
    <xf numFmtId="1" fontId="7" fillId="15" borderId="1" xfId="1" applyNumberFormat="1" applyFont="1" applyFill="1" applyBorder="1" applyAlignment="1">
      <alignment horizontal="center" vertical="center" wrapText="1"/>
    </xf>
    <xf numFmtId="42" fontId="7" fillId="0" borderId="0" xfId="1" applyFont="1" applyAlignment="1">
      <alignment vertical="center" wrapText="1"/>
    </xf>
    <xf numFmtId="42" fontId="7" fillId="0" borderId="1" xfId="1" applyFont="1" applyBorder="1" applyAlignment="1">
      <alignment vertical="center" wrapText="1"/>
    </xf>
    <xf numFmtId="0" fontId="7" fillId="13" borderId="12" xfId="0" applyFont="1" applyFill="1" applyBorder="1" applyAlignment="1">
      <alignment horizontal="center" vertical="center" wrapText="1"/>
    </xf>
    <xf numFmtId="0" fontId="7" fillId="11" borderId="8"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13" borderId="12" xfId="0" applyFont="1" applyFill="1" applyBorder="1" applyAlignment="1">
      <alignment horizontal="center" vertical="center"/>
    </xf>
    <xf numFmtId="0" fontId="7" fillId="11" borderId="17" xfId="0" applyFont="1" applyFill="1" applyBorder="1" applyAlignment="1">
      <alignment horizontal="center" vertical="center" wrapText="1"/>
    </xf>
    <xf numFmtId="0" fontId="7" fillId="11" borderId="17" xfId="0" applyFont="1" applyFill="1" applyBorder="1" applyAlignment="1">
      <alignment horizontal="center" vertical="center"/>
    </xf>
    <xf numFmtId="0" fontId="7" fillId="11" borderId="17" xfId="0" applyFont="1" applyFill="1" applyBorder="1" applyAlignment="1">
      <alignment horizontal="left" vertical="center" wrapText="1"/>
    </xf>
    <xf numFmtId="0" fontId="7" fillId="11" borderId="35" xfId="0" applyFont="1" applyFill="1" applyBorder="1" applyAlignment="1">
      <alignment horizontal="center" vertical="center" wrapText="1"/>
    </xf>
    <xf numFmtId="164" fontId="15" fillId="11" borderId="1" xfId="0" applyNumberFormat="1" applyFont="1" applyFill="1" applyBorder="1" applyAlignment="1">
      <alignment horizontal="center" vertical="center" wrapText="1"/>
    </xf>
    <xf numFmtId="0" fontId="7" fillId="11" borderId="43" xfId="0" applyFont="1" applyFill="1" applyBorder="1" applyAlignment="1">
      <alignment horizontal="left" vertical="center" wrapText="1"/>
    </xf>
    <xf numFmtId="0" fontId="7" fillId="11" borderId="14" xfId="0" applyFont="1" applyFill="1" applyBorder="1" applyAlignment="1">
      <alignment horizontal="center" vertical="center" wrapText="1"/>
    </xf>
    <xf numFmtId="0" fontId="7" fillId="15" borderId="12" xfId="0" applyFont="1" applyFill="1" applyBorder="1" applyAlignment="1">
      <alignment vertical="center"/>
    </xf>
    <xf numFmtId="0" fontId="7" fillId="15" borderId="11" xfId="0" applyFont="1" applyFill="1" applyBorder="1" applyAlignment="1">
      <alignment vertical="center"/>
    </xf>
    <xf numFmtId="42" fontId="7" fillId="15" borderId="8" xfId="1" applyFont="1" applyFill="1" applyBorder="1" applyAlignment="1">
      <alignment horizontal="center" vertical="center" wrapText="1"/>
    </xf>
    <xf numFmtId="0" fontId="7" fillId="7" borderId="1" xfId="0" applyFont="1" applyFill="1" applyBorder="1" applyAlignment="1">
      <alignment horizontal="center" vertical="center" wrapText="1"/>
    </xf>
    <xf numFmtId="42" fontId="7" fillId="7" borderId="1" xfId="1" applyFont="1" applyFill="1" applyBorder="1" applyAlignment="1">
      <alignment horizontal="center" vertical="center" wrapText="1"/>
    </xf>
    <xf numFmtId="0" fontId="7" fillId="9" borderId="17" xfId="0" applyFont="1" applyFill="1" applyBorder="1" applyAlignment="1">
      <alignment horizontal="center" vertical="center" wrapText="1"/>
    </xf>
    <xf numFmtId="0" fontId="12" fillId="28" borderId="2" xfId="0" applyFont="1" applyFill="1" applyBorder="1" applyAlignment="1" applyProtection="1">
      <alignment horizontal="justify" vertical="center" wrapText="1"/>
    </xf>
    <xf numFmtId="1" fontId="7" fillId="10" borderId="2" xfId="0" applyNumberFormat="1" applyFont="1" applyFill="1" applyBorder="1" applyAlignment="1">
      <alignment horizontal="center" vertical="center" wrapText="1"/>
    </xf>
    <xf numFmtId="0" fontId="7" fillId="10" borderId="2" xfId="0" applyFont="1" applyFill="1" applyBorder="1" applyAlignment="1">
      <alignment horizontal="center" vertical="center" wrapText="1"/>
    </xf>
    <xf numFmtId="0" fontId="12" fillId="28" borderId="8" xfId="0" applyFont="1" applyFill="1" applyBorder="1" applyAlignment="1" applyProtection="1">
      <alignment horizontal="justify" vertical="center" wrapText="1"/>
    </xf>
    <xf numFmtId="1" fontId="7" fillId="10" borderId="8" xfId="0" applyNumberFormat="1" applyFont="1" applyFill="1" applyBorder="1" applyAlignment="1">
      <alignment horizontal="center" vertical="center" wrapText="1"/>
    </xf>
    <xf numFmtId="0" fontId="7" fillId="10" borderId="8" xfId="0" applyFont="1" applyFill="1" applyBorder="1" applyAlignment="1">
      <alignment horizontal="center" vertical="center" wrapText="1"/>
    </xf>
    <xf numFmtId="0" fontId="12" fillId="28" borderId="1" xfId="0" applyFont="1" applyFill="1" applyBorder="1" applyAlignment="1" applyProtection="1">
      <alignment horizontal="justify" vertical="center" wrapText="1"/>
    </xf>
    <xf numFmtId="1" fontId="7" fillId="10" borderId="1" xfId="0" applyNumberFormat="1" applyFont="1" applyFill="1" applyBorder="1" applyAlignment="1">
      <alignment horizontal="center" vertical="center" wrapText="1"/>
    </xf>
    <xf numFmtId="0" fontId="7" fillId="10" borderId="1" xfId="0" applyFont="1" applyFill="1" applyBorder="1" applyAlignment="1">
      <alignment horizontal="center" vertical="center" wrapText="1"/>
    </xf>
    <xf numFmtId="0" fontId="12" fillId="28" borderId="3" xfId="0" applyFont="1" applyFill="1" applyBorder="1" applyAlignment="1" applyProtection="1">
      <alignment horizontal="justify" vertical="center" wrapText="1"/>
    </xf>
    <xf numFmtId="1" fontId="7" fillId="10" borderId="3" xfId="0" applyNumberFormat="1" applyFont="1" applyFill="1" applyBorder="1" applyAlignment="1">
      <alignment horizontal="center" vertical="center" wrapText="1"/>
    </xf>
    <xf numFmtId="0" fontId="7" fillId="10" borderId="3" xfId="0" applyFont="1" applyFill="1" applyBorder="1" applyAlignment="1">
      <alignment horizontal="center" vertical="center" wrapText="1"/>
    </xf>
    <xf numFmtId="0" fontId="12" fillId="28" borderId="11" xfId="0" applyFont="1" applyFill="1" applyBorder="1" applyAlignment="1" applyProtection="1">
      <alignment horizontal="justify" vertical="center" wrapText="1"/>
    </xf>
    <xf numFmtId="1" fontId="7" fillId="10" borderId="11" xfId="0" applyNumberFormat="1" applyFont="1" applyFill="1" applyBorder="1" applyAlignment="1">
      <alignment horizontal="center" vertical="center" wrapText="1"/>
    </xf>
    <xf numFmtId="0" fontId="7" fillId="10" borderId="11" xfId="0" applyFont="1" applyFill="1" applyBorder="1" applyAlignment="1">
      <alignment horizontal="center" vertical="center" wrapText="1"/>
    </xf>
    <xf numFmtId="0" fontId="7" fillId="10" borderId="1" xfId="0" applyFont="1" applyFill="1" applyBorder="1" applyAlignment="1">
      <alignment horizontal="justify" vertical="center" wrapText="1"/>
    </xf>
    <xf numFmtId="0" fontId="12" fillId="28" borderId="1" xfId="0" applyFont="1" applyFill="1" applyBorder="1" applyAlignment="1">
      <alignment horizontal="justify" vertical="center" wrapText="1"/>
    </xf>
    <xf numFmtId="0" fontId="7" fillId="28" borderId="1" xfId="0" applyFont="1" applyFill="1" applyBorder="1" applyAlignment="1">
      <alignment horizontal="justify" vertical="center" wrapText="1"/>
    </xf>
    <xf numFmtId="0" fontId="7" fillId="28" borderId="11" xfId="0" applyFont="1" applyFill="1" applyBorder="1" applyAlignment="1">
      <alignment horizontal="justify" vertical="center" wrapText="1"/>
    </xf>
    <xf numFmtId="0" fontId="12" fillId="28" borderId="17" xfId="0" applyFont="1" applyFill="1" applyBorder="1" applyAlignment="1" applyProtection="1">
      <alignment horizontal="justify" vertical="center" wrapText="1"/>
    </xf>
    <xf numFmtId="0" fontId="7" fillId="10" borderId="17" xfId="0" applyFont="1" applyFill="1" applyBorder="1" applyAlignment="1">
      <alignment horizontal="center" vertical="center" wrapText="1"/>
    </xf>
    <xf numFmtId="0" fontId="7" fillId="28" borderId="8" xfId="0" applyFont="1" applyFill="1" applyBorder="1" applyAlignment="1">
      <alignment horizontal="justify" vertical="center" wrapText="1"/>
    </xf>
    <xf numFmtId="41" fontId="11" fillId="10" borderId="1" xfId="5" applyFont="1" applyFill="1" applyBorder="1" applyAlignment="1">
      <alignment horizontal="center" vertical="center" wrapText="1"/>
    </xf>
    <xf numFmtId="0" fontId="7" fillId="10" borderId="3" xfId="0" applyFont="1" applyFill="1" applyBorder="1" applyAlignment="1">
      <alignment horizontal="justify" vertical="center" wrapText="1"/>
    </xf>
    <xf numFmtId="0" fontId="7" fillId="28" borderId="1" xfId="0" applyFont="1" applyFill="1" applyBorder="1" applyAlignment="1">
      <alignment horizontal="center" vertical="center" wrapText="1"/>
    </xf>
    <xf numFmtId="0" fontId="7" fillId="20" borderId="1" xfId="0" applyFont="1" applyFill="1" applyBorder="1" applyAlignment="1">
      <alignment horizontal="center" vertical="center"/>
    </xf>
    <xf numFmtId="0" fontId="7" fillId="20" borderId="1" xfId="0" applyFont="1" applyFill="1" applyBorder="1" applyAlignment="1">
      <alignment vertical="center"/>
    </xf>
    <xf numFmtId="0" fontId="7" fillId="10" borderId="1" xfId="6" applyFont="1" applyFill="1" applyBorder="1" applyAlignment="1">
      <alignment horizontal="center" vertical="center" wrapText="1"/>
    </xf>
    <xf numFmtId="0" fontId="7" fillId="10" borderId="11" xfId="0" applyFont="1" applyFill="1" applyBorder="1" applyAlignment="1">
      <alignment vertical="center" wrapText="1"/>
    </xf>
    <xf numFmtId="0" fontId="15" fillId="0" borderId="11" xfId="0" applyFont="1" applyFill="1" applyBorder="1" applyAlignment="1">
      <alignment horizontal="center" vertical="center" wrapText="1"/>
    </xf>
    <xf numFmtId="0" fontId="2" fillId="0" borderId="8" xfId="0" applyFont="1" applyFill="1" applyBorder="1" applyAlignment="1">
      <alignment horizontal="center" vertical="center" wrapText="1"/>
    </xf>
    <xf numFmtId="42" fontId="7" fillId="0" borderId="1" xfId="1" applyFont="1" applyFill="1" applyBorder="1" applyAlignment="1">
      <alignment vertical="center" wrapText="1"/>
    </xf>
    <xf numFmtId="0" fontId="7" fillId="10" borderId="8" xfId="0" applyFont="1" applyFill="1" applyBorder="1" applyAlignment="1">
      <alignment horizontal="center" vertical="center" wrapText="1"/>
    </xf>
    <xf numFmtId="42" fontId="7" fillId="0" borderId="1" xfId="1" applyFont="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wrapText="1"/>
    </xf>
    <xf numFmtId="166" fontId="7" fillId="0" borderId="1" xfId="30" applyNumberFormat="1" applyFont="1" applyBorder="1" applyAlignment="1">
      <alignment vertical="center"/>
    </xf>
    <xf numFmtId="44" fontId="7" fillId="0" borderId="1" xfId="30" applyFont="1" applyBorder="1" applyAlignment="1">
      <alignment vertical="center"/>
    </xf>
    <xf numFmtId="0" fontId="7" fillId="0" borderId="1" xfId="0" applyFont="1" applyBorder="1"/>
    <xf numFmtId="168" fontId="7" fillId="0" borderId="1" xfId="0" applyNumberFormat="1" applyFont="1" applyBorder="1" applyAlignment="1">
      <alignment horizontal="center" vertical="center"/>
    </xf>
    <xf numFmtId="166" fontId="7" fillId="0" borderId="1" xfId="30" applyNumberFormat="1" applyFont="1" applyBorder="1"/>
    <xf numFmtId="44" fontId="7" fillId="0" borderId="1" xfId="0" applyNumberFormat="1" applyFont="1" applyBorder="1"/>
    <xf numFmtId="0" fontId="7" fillId="0" borderId="1" xfId="0" applyFont="1" applyBorder="1" applyAlignment="1">
      <alignment vertical="center" wrapText="1"/>
    </xf>
    <xf numFmtId="166" fontId="11" fillId="0" borderId="1" xfId="0" applyNumberFormat="1" applyFont="1" applyBorder="1" applyAlignment="1">
      <alignment horizontal="center" vertical="center"/>
    </xf>
    <xf numFmtId="168" fontId="11" fillId="0" borderId="1" xfId="0" applyNumberFormat="1" applyFont="1" applyBorder="1" applyAlignment="1">
      <alignment horizontal="center" vertical="center"/>
    </xf>
    <xf numFmtId="0" fontId="7"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0" fillId="3" borderId="3" xfId="0" applyFill="1" applyBorder="1" applyAlignment="1">
      <alignment horizontal="center" vertical="center" wrapText="1"/>
    </xf>
    <xf numFmtId="0" fontId="15" fillId="3" borderId="3" xfId="0" applyFont="1" applyFill="1" applyBorder="1" applyAlignment="1">
      <alignment horizontal="center" vertical="center" wrapText="1"/>
    </xf>
    <xf numFmtId="0" fontId="9" fillId="24" borderId="64" xfId="0" applyFont="1" applyFill="1" applyBorder="1" applyAlignment="1">
      <alignment horizontal="justify" vertical="center" wrapText="1"/>
    </xf>
    <xf numFmtId="0" fontId="9" fillId="24" borderId="2" xfId="0" applyFont="1" applyFill="1" applyBorder="1" applyAlignment="1">
      <alignment horizontal="justify" vertical="center" wrapText="1"/>
    </xf>
    <xf numFmtId="0" fontId="9" fillId="24" borderId="2" xfId="0" applyFont="1" applyFill="1" applyBorder="1" applyAlignment="1">
      <alignment horizontal="center" vertical="center" wrapText="1"/>
    </xf>
    <xf numFmtId="0" fontId="9" fillId="24" borderId="65" xfId="0" applyFont="1" applyFill="1" applyBorder="1" applyAlignment="1">
      <alignment horizontal="center" vertical="center" wrapText="1"/>
    </xf>
    <xf numFmtId="42" fontId="7" fillId="0" borderId="50" xfId="1" applyFont="1" applyBorder="1" applyAlignment="1">
      <alignment horizontal="center" vertical="center" wrapText="1"/>
    </xf>
    <xf numFmtId="3" fontId="33" fillId="0" borderId="3" xfId="1" applyNumberFormat="1" applyFont="1" applyBorder="1" applyAlignment="1">
      <alignment horizontal="center" vertical="center" wrapText="1"/>
    </xf>
    <xf numFmtId="3" fontId="33" fillId="0" borderId="51" xfId="0" applyNumberFormat="1" applyFont="1" applyBorder="1" applyAlignment="1">
      <alignment horizontal="center" vertical="center" wrapText="1"/>
    </xf>
    <xf numFmtId="0" fontId="15" fillId="0" borderId="11" xfId="0" applyFont="1" applyFill="1" applyBorder="1" applyAlignment="1">
      <alignment horizontal="center" vertical="center" wrapText="1"/>
    </xf>
    <xf numFmtId="0" fontId="7" fillId="15" borderId="17" xfId="0" applyFont="1" applyFill="1" applyBorder="1" applyAlignment="1">
      <alignment horizontal="center" vertical="center"/>
    </xf>
    <xf numFmtId="0" fontId="7" fillId="10" borderId="8" xfId="0" applyFont="1" applyFill="1" applyBorder="1" applyAlignment="1">
      <alignment horizontal="center" vertical="center" wrapText="1"/>
    </xf>
    <xf numFmtId="0" fontId="7" fillId="15" borderId="11" xfId="0" applyFont="1" applyFill="1" applyBorder="1" applyAlignment="1">
      <alignment horizontal="center" vertical="center" wrapText="1"/>
    </xf>
    <xf numFmtId="0" fontId="7" fillId="15" borderId="17" xfId="0" applyFont="1" applyFill="1" applyBorder="1" applyAlignment="1">
      <alignment horizontal="center" vertical="center" wrapText="1"/>
    </xf>
    <xf numFmtId="0" fontId="7" fillId="15" borderId="8" xfId="0" applyFont="1" applyFill="1" applyBorder="1" applyAlignment="1">
      <alignment horizontal="center" vertical="center" wrapText="1"/>
    </xf>
    <xf numFmtId="0" fontId="10" fillId="15" borderId="17" xfId="0" applyFont="1" applyFill="1" applyBorder="1" applyAlignment="1">
      <alignment horizontal="center" vertical="center" wrapText="1"/>
    </xf>
    <xf numFmtId="42" fontId="7" fillId="15" borderId="8" xfId="1"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15" borderId="17" xfId="0" applyFont="1" applyFill="1" applyBorder="1" applyAlignment="1">
      <alignment horizontal="left" vertical="center" wrapText="1"/>
    </xf>
    <xf numFmtId="0" fontId="7" fillId="3" borderId="17" xfId="0" applyFont="1" applyFill="1" applyBorder="1" applyAlignment="1">
      <alignment vertical="center" wrapText="1"/>
    </xf>
    <xf numFmtId="0" fontId="7" fillId="3" borderId="8" xfId="0" applyFont="1" applyFill="1" applyBorder="1" applyAlignment="1">
      <alignment vertical="center" wrapText="1"/>
    </xf>
    <xf numFmtId="0" fontId="7" fillId="3" borderId="1" xfId="0" applyFont="1" applyFill="1" applyBorder="1" applyAlignment="1">
      <alignment vertical="center" wrapText="1"/>
    </xf>
    <xf numFmtId="42" fontId="7" fillId="0" borderId="1" xfId="0" applyNumberFormat="1" applyFont="1" applyBorder="1" applyAlignment="1">
      <alignment horizontal="justify" vertical="center" wrapText="1"/>
    </xf>
    <xf numFmtId="0" fontId="10" fillId="0" borderId="1" xfId="0" applyFont="1" applyBorder="1" applyAlignment="1">
      <alignment horizontal="center"/>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wrapText="1"/>
    </xf>
    <xf numFmtId="0" fontId="6" fillId="0" borderId="1" xfId="0" applyFont="1" applyBorder="1"/>
    <xf numFmtId="0" fontId="10" fillId="27" borderId="1" xfId="0" applyFont="1" applyFill="1" applyBorder="1"/>
    <xf numFmtId="3" fontId="10" fillId="27" borderId="1" xfId="0" applyNumberFormat="1" applyFont="1" applyFill="1" applyBorder="1" applyAlignment="1">
      <alignment horizontal="center" vertical="center"/>
    </xf>
    <xf numFmtId="0" fontId="6" fillId="0" borderId="1" xfId="0" applyFont="1" applyBorder="1" applyAlignment="1">
      <alignment horizontal="left" vertical="center" wrapText="1"/>
    </xf>
    <xf numFmtId="3" fontId="6" fillId="0" borderId="1" xfId="0" applyNumberFormat="1" applyFont="1" applyBorder="1" applyAlignment="1">
      <alignment horizontal="center" vertical="center"/>
    </xf>
    <xf numFmtId="0" fontId="6" fillId="0" borderId="8" xfId="0" applyFont="1" applyBorder="1"/>
    <xf numFmtId="0" fontId="6" fillId="0" borderId="8"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1" xfId="0" applyFont="1" applyBorder="1" applyAlignment="1">
      <alignment horizontal="center" vertical="center" wrapText="1"/>
    </xf>
    <xf numFmtId="3" fontId="6" fillId="0" borderId="11" xfId="0" applyNumberFormat="1" applyFont="1" applyBorder="1" applyAlignment="1">
      <alignment horizontal="center" vertical="center"/>
    </xf>
    <xf numFmtId="0" fontId="6" fillId="0" borderId="1" xfId="0" applyFont="1" applyBorder="1" applyAlignment="1">
      <alignment wrapText="1"/>
    </xf>
    <xf numFmtId="0" fontId="11" fillId="0" borderId="1" xfId="0" applyFont="1" applyBorder="1" applyAlignment="1">
      <alignment horizontal="center"/>
    </xf>
    <xf numFmtId="3" fontId="18" fillId="0" borderId="13" xfId="0" applyNumberFormat="1" applyFont="1" applyBorder="1" applyAlignment="1">
      <alignment horizontal="right" vertical="center"/>
    </xf>
    <xf numFmtId="0" fontId="1" fillId="0" borderId="0" xfId="0" applyFont="1"/>
    <xf numFmtId="2" fontId="0" fillId="0" borderId="0" xfId="0" applyNumberFormat="1"/>
    <xf numFmtId="4" fontId="0" fillId="0" borderId="0" xfId="0" applyNumberFormat="1"/>
    <xf numFmtId="3" fontId="7" fillId="0" borderId="1" xfId="0" applyNumberFormat="1" applyFont="1" applyBorder="1" applyAlignment="1">
      <alignment horizontal="center" vertical="center"/>
    </xf>
    <xf numFmtId="3"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vertical="center" wrapText="1"/>
    </xf>
    <xf numFmtId="0" fontId="11" fillId="0" borderId="1" xfId="0" applyFont="1" applyBorder="1" applyAlignment="1">
      <alignment vertical="center"/>
    </xf>
    <xf numFmtId="0" fontId="7" fillId="18" borderId="8"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7" fillId="10" borderId="11" xfId="6" applyFont="1" applyFill="1" applyBorder="1" applyAlignment="1">
      <alignment horizontal="center" vertical="center" wrapText="1"/>
    </xf>
    <xf numFmtId="0" fontId="7" fillId="10" borderId="1" xfId="0" applyFont="1" applyFill="1" applyBorder="1" applyAlignment="1">
      <alignment vertical="center" wrapText="1"/>
    </xf>
    <xf numFmtId="0" fontId="7" fillId="18" borderId="8" xfId="0" applyFont="1" applyFill="1" applyBorder="1" applyAlignment="1">
      <alignment vertical="center"/>
    </xf>
    <xf numFmtId="44" fontId="6" fillId="0" borderId="1" xfId="30" applyFont="1" applyBorder="1" applyAlignment="1">
      <alignment horizontal="center" vertical="center" wrapText="1"/>
    </xf>
    <xf numFmtId="44" fontId="0" fillId="0" borderId="0" xfId="0" applyNumberFormat="1"/>
    <xf numFmtId="0" fontId="6" fillId="0" borderId="1" xfId="0" applyFont="1" applyBorder="1" applyAlignment="1">
      <alignment horizontal="center" vertical="top" wrapText="1"/>
    </xf>
    <xf numFmtId="0" fontId="6" fillId="0" borderId="1" xfId="0" applyFont="1" applyBorder="1" applyAlignment="1">
      <alignment horizontal="left" vertical="top" wrapText="1"/>
    </xf>
    <xf numFmtId="44" fontId="6" fillId="0" borderId="8" xfId="30" applyFont="1" applyBorder="1" applyAlignment="1">
      <alignment horizontal="center" vertical="center" wrapText="1"/>
    </xf>
    <xf numFmtId="0" fontId="6" fillId="0" borderId="8" xfId="0" applyFont="1" applyBorder="1" applyAlignment="1">
      <alignment horizontal="left" vertical="center" wrapText="1"/>
    </xf>
    <xf numFmtId="0" fontId="6" fillId="0" borderId="17" xfId="0" applyFont="1" applyFill="1" applyBorder="1" applyAlignment="1">
      <alignment horizontal="left" vertical="center" wrapText="1"/>
    </xf>
    <xf numFmtId="44" fontId="10" fillId="27" borderId="1" xfId="0" applyNumberFormat="1" applyFont="1" applyFill="1" applyBorder="1"/>
    <xf numFmtId="0" fontId="43" fillId="0" borderId="1" xfId="0" applyFont="1" applyFill="1" applyBorder="1" applyAlignment="1">
      <alignment horizontal="left" vertical="center" wrapText="1"/>
    </xf>
    <xf numFmtId="44" fontId="43" fillId="0" borderId="1" xfId="30" applyFont="1" applyBorder="1" applyAlignment="1">
      <alignment horizontal="center" vertical="center" wrapText="1"/>
    </xf>
    <xf numFmtId="0" fontId="7" fillId="15" borderId="11"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15" fillId="15" borderId="1" xfId="0" applyNumberFormat="1" applyFont="1" applyFill="1" applyBorder="1" applyAlignment="1">
      <alignment horizontal="center" vertical="center" wrapText="1"/>
    </xf>
    <xf numFmtId="1" fontId="15" fillId="15" borderId="1" xfId="0" applyNumberFormat="1" applyFont="1" applyFill="1" applyBorder="1" applyAlignment="1">
      <alignment horizontal="center" vertical="center" wrapText="1"/>
    </xf>
    <xf numFmtId="164" fontId="15" fillId="15" borderId="1" xfId="0" applyNumberFormat="1" applyFont="1" applyFill="1" applyBorder="1" applyAlignment="1">
      <alignment horizontal="center" vertical="center" wrapText="1"/>
    </xf>
    <xf numFmtId="1" fontId="7" fillId="15" borderId="1" xfId="0" applyNumberFormat="1" applyFont="1" applyFill="1" applyBorder="1" applyAlignment="1">
      <alignment horizontal="center" vertical="center" wrapText="1"/>
    </xf>
    <xf numFmtId="2" fontId="7" fillId="15" borderId="1" xfId="0" applyNumberFormat="1" applyFont="1" applyFill="1" applyBorder="1" applyAlignment="1">
      <alignment horizontal="center" vertical="center" wrapText="1"/>
    </xf>
    <xf numFmtId="0" fontId="7" fillId="16" borderId="1" xfId="0" applyFont="1" applyFill="1" applyBorder="1" applyAlignment="1">
      <alignment horizontal="justify" vertical="center" wrapText="1"/>
    </xf>
    <xf numFmtId="165" fontId="11" fillId="15" borderId="1" xfId="5" applyNumberFormat="1" applyFont="1" applyFill="1" applyBorder="1" applyAlignment="1">
      <alignment horizontal="center" vertical="center" wrapText="1"/>
    </xf>
    <xf numFmtId="41" fontId="11" fillId="15" borderId="1" xfId="5" applyFont="1" applyFill="1" applyBorder="1" applyAlignment="1">
      <alignment horizontal="center" vertical="center" wrapText="1"/>
    </xf>
    <xf numFmtId="2" fontId="11" fillId="15" borderId="1" xfId="5" applyNumberFormat="1" applyFont="1" applyFill="1" applyBorder="1" applyAlignment="1">
      <alignment horizontal="center" vertical="center" wrapText="1"/>
    </xf>
    <xf numFmtId="0" fontId="11" fillId="15" borderId="1" xfId="1" applyNumberFormat="1" applyFont="1" applyFill="1" applyBorder="1" applyAlignment="1">
      <alignment horizontal="center" vertical="center" wrapText="1"/>
    </xf>
    <xf numFmtId="2" fontId="11" fillId="15" borderId="1" xfId="1" applyNumberFormat="1" applyFont="1" applyFill="1" applyBorder="1" applyAlignment="1">
      <alignment horizontal="center" vertical="center" wrapText="1"/>
    </xf>
    <xf numFmtId="2" fontId="7" fillId="15" borderId="1" xfId="2" applyNumberFormat="1" applyFont="1" applyFill="1" applyBorder="1" applyAlignment="1">
      <alignment horizontal="center" vertical="center" wrapText="1"/>
    </xf>
    <xf numFmtId="0" fontId="7" fillId="15" borderId="1" xfId="1" applyNumberFormat="1" applyFont="1" applyFill="1" applyBorder="1" applyAlignment="1">
      <alignment horizontal="center" vertical="center" wrapText="1"/>
    </xf>
    <xf numFmtId="0" fontId="7" fillId="15" borderId="1" xfId="10" applyNumberFormat="1" applyFont="1" applyFill="1" applyBorder="1" applyAlignment="1">
      <alignment horizontal="center" vertical="center" wrapText="1"/>
    </xf>
    <xf numFmtId="2" fontId="7" fillId="15" borderId="2" xfId="0" applyNumberFormat="1" applyFont="1" applyFill="1" applyBorder="1" applyAlignment="1">
      <alignment horizontal="center" vertical="center" wrapText="1"/>
    </xf>
    <xf numFmtId="9" fontId="7" fillId="15" borderId="1" xfId="1" applyNumberFormat="1" applyFont="1" applyFill="1" applyBorder="1" applyAlignment="1">
      <alignment horizontal="center" vertical="center" wrapText="1"/>
    </xf>
    <xf numFmtId="0" fontId="7" fillId="15" borderId="11" xfId="1" applyNumberFormat="1" applyFont="1" applyFill="1" applyBorder="1" applyAlignment="1">
      <alignment horizontal="center" vertical="center" wrapText="1"/>
    </xf>
    <xf numFmtId="0" fontId="10" fillId="15" borderId="20" xfId="1" applyNumberFormat="1" applyFont="1" applyFill="1" applyBorder="1" applyAlignment="1">
      <alignment horizontal="center" vertical="center" wrapText="1"/>
    </xf>
    <xf numFmtId="42" fontId="7" fillId="7" borderId="1" xfId="1" applyFont="1" applyFill="1" applyBorder="1" applyAlignment="1">
      <alignment horizontal="center" vertical="center" wrapText="1"/>
    </xf>
    <xf numFmtId="0" fontId="7" fillId="10" borderId="11"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7" borderId="11" xfId="0" applyFont="1" applyFill="1" applyBorder="1" applyAlignment="1">
      <alignment horizontal="center" vertical="center"/>
    </xf>
    <xf numFmtId="0" fontId="7" fillId="7" borderId="17" xfId="0" applyFont="1" applyFill="1" applyBorder="1" applyAlignment="1">
      <alignment horizontal="center" vertical="center"/>
    </xf>
    <xf numFmtId="0" fontId="7" fillId="15" borderId="11" xfId="0" applyFont="1" applyFill="1" applyBorder="1" applyAlignment="1">
      <alignment horizontal="center" vertical="center"/>
    </xf>
    <xf numFmtId="0" fontId="7" fillId="15" borderId="17" xfId="0" applyFont="1" applyFill="1" applyBorder="1" applyAlignment="1">
      <alignment horizontal="center" vertical="center"/>
    </xf>
    <xf numFmtId="0" fontId="7" fillId="15" borderId="11" xfId="0" applyFont="1" applyFill="1" applyBorder="1" applyAlignment="1">
      <alignment horizontal="center" vertical="center" wrapText="1"/>
    </xf>
    <xf numFmtId="0" fontId="7" fillId="15" borderId="17" xfId="0" applyFont="1" applyFill="1" applyBorder="1" applyAlignment="1">
      <alignment horizontal="center" vertical="center" wrapText="1"/>
    </xf>
    <xf numFmtId="0" fontId="7" fillId="15" borderId="8" xfId="0" applyFont="1" applyFill="1" applyBorder="1" applyAlignment="1">
      <alignment horizontal="center" vertical="center" wrapText="1"/>
    </xf>
    <xf numFmtId="42" fontId="7" fillId="0" borderId="17" xfId="1" applyFont="1" applyFill="1" applyBorder="1" applyAlignment="1">
      <alignment horizontal="center" vertical="center" wrapText="1"/>
    </xf>
    <xf numFmtId="42" fontId="7" fillId="0" borderId="8" xfId="1" applyFont="1" applyFill="1" applyBorder="1" applyAlignment="1">
      <alignment horizontal="center" vertical="center" wrapText="1"/>
    </xf>
    <xf numFmtId="42" fontId="7" fillId="0" borderId="11" xfId="1" applyFont="1" applyFill="1" applyBorder="1" applyAlignment="1">
      <alignment horizontal="center" vertical="center" wrapText="1"/>
    </xf>
    <xf numFmtId="0" fontId="7" fillId="15" borderId="8" xfId="0" applyFont="1" applyFill="1" applyBorder="1" applyAlignment="1">
      <alignment horizontal="center" vertical="center"/>
    </xf>
    <xf numFmtId="0" fontId="7" fillId="7" borderId="8" xfId="0" applyFont="1" applyFill="1" applyBorder="1" applyAlignment="1">
      <alignment horizontal="center" vertical="center"/>
    </xf>
    <xf numFmtId="0" fontId="7" fillId="11" borderId="12" xfId="0" applyFont="1" applyFill="1" applyBorder="1" applyAlignment="1">
      <alignment horizontal="center" vertical="center" wrapText="1"/>
    </xf>
    <xf numFmtId="0" fontId="7" fillId="11" borderId="17" xfId="0" applyFont="1" applyFill="1" applyBorder="1" applyAlignment="1">
      <alignment horizontal="center" vertical="center" wrapText="1"/>
    </xf>
    <xf numFmtId="0" fontId="7" fillId="11" borderId="9" xfId="0" applyFont="1" applyFill="1" applyBorder="1" applyAlignment="1">
      <alignment horizontal="center" vertical="center" wrapText="1"/>
    </xf>
    <xf numFmtId="0" fontId="15" fillId="11" borderId="12" xfId="0" applyFont="1" applyFill="1" applyBorder="1" applyAlignment="1">
      <alignment horizontal="center" vertical="center" wrapText="1"/>
    </xf>
    <xf numFmtId="0" fontId="15" fillId="11" borderId="17" xfId="0" applyFont="1" applyFill="1" applyBorder="1" applyAlignment="1">
      <alignment horizontal="center" vertical="center" wrapText="1"/>
    </xf>
    <xf numFmtId="0" fontId="15" fillId="11" borderId="9" xfId="0" applyFont="1" applyFill="1" applyBorder="1" applyAlignment="1">
      <alignment horizontal="center" vertical="center" wrapText="1"/>
    </xf>
    <xf numFmtId="164" fontId="15" fillId="11" borderId="12" xfId="0" applyNumberFormat="1" applyFont="1" applyFill="1" applyBorder="1" applyAlignment="1">
      <alignment horizontal="center" vertical="center" wrapText="1"/>
    </xf>
    <xf numFmtId="164" fontId="15" fillId="11" borderId="17" xfId="0" applyNumberFormat="1" applyFont="1" applyFill="1" applyBorder="1" applyAlignment="1">
      <alignment horizontal="center" vertical="center" wrapText="1"/>
    </xf>
    <xf numFmtId="164" fontId="15" fillId="11" borderId="9" xfId="0" applyNumberFormat="1" applyFont="1" applyFill="1" applyBorder="1" applyAlignment="1">
      <alignment horizontal="center" vertical="center" wrapText="1"/>
    </xf>
    <xf numFmtId="0" fontId="7" fillId="11" borderId="8"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7" fillId="7" borderId="17"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7" fillId="13" borderId="11" xfId="0" applyFont="1" applyFill="1" applyBorder="1" applyAlignment="1">
      <alignment horizontal="center" vertical="center"/>
    </xf>
    <xf numFmtId="0" fontId="7" fillId="13" borderId="17" xfId="0" applyFont="1" applyFill="1" applyBorder="1" applyAlignment="1">
      <alignment horizontal="center" vertical="center"/>
    </xf>
    <xf numFmtId="0" fontId="7" fillId="13" borderId="8" xfId="0" applyFont="1" applyFill="1" applyBorder="1" applyAlignment="1">
      <alignment horizontal="center" vertical="center"/>
    </xf>
    <xf numFmtId="0" fontId="7" fillId="13" borderId="18" xfId="0" applyFont="1" applyFill="1" applyBorder="1" applyAlignment="1">
      <alignment horizontal="center" vertical="center" wrapText="1"/>
    </xf>
    <xf numFmtId="0" fontId="7" fillId="13" borderId="36" xfId="0" applyFont="1" applyFill="1" applyBorder="1" applyAlignment="1">
      <alignment horizontal="center" vertical="center" wrapText="1"/>
    </xf>
    <xf numFmtId="0" fontId="7" fillId="13" borderId="14" xfId="0" applyFont="1" applyFill="1" applyBorder="1" applyAlignment="1">
      <alignment horizontal="center" vertical="center" wrapText="1"/>
    </xf>
    <xf numFmtId="0" fontId="7" fillId="15" borderId="12" xfId="0" applyFont="1" applyFill="1" applyBorder="1" applyAlignment="1">
      <alignment horizontal="center" vertical="center" wrapText="1"/>
    </xf>
    <xf numFmtId="0" fontId="7" fillId="15" borderId="12" xfId="0" applyFont="1" applyFill="1" applyBorder="1" applyAlignment="1">
      <alignment horizontal="center" vertical="center"/>
    </xf>
    <xf numFmtId="0" fontId="7" fillId="15" borderId="9" xfId="0" applyFont="1" applyFill="1" applyBorder="1" applyAlignment="1">
      <alignment horizontal="center" vertical="center" wrapText="1"/>
    </xf>
    <xf numFmtId="0" fontId="7" fillId="13" borderId="11" xfId="0" applyFont="1" applyFill="1" applyBorder="1" applyAlignment="1">
      <alignment horizontal="center" vertical="center" wrapText="1"/>
    </xf>
    <xf numFmtId="0" fontId="7" fillId="13" borderId="8"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42" xfId="0" applyFont="1" applyFill="1" applyBorder="1" applyAlignment="1">
      <alignment horizontal="center" vertical="center" wrapText="1"/>
    </xf>
    <xf numFmtId="9" fontId="12" fillId="15" borderId="17" xfId="0" applyNumberFormat="1" applyFont="1" applyFill="1" applyBorder="1" applyAlignment="1">
      <alignment horizontal="center" vertical="center"/>
    </xf>
    <xf numFmtId="0" fontId="7" fillId="18" borderId="11" xfId="0" applyFont="1" applyFill="1" applyBorder="1" applyAlignment="1">
      <alignment horizontal="center" vertical="center" wrapText="1"/>
    </xf>
    <xf numFmtId="0" fontId="7" fillId="18" borderId="9" xfId="0" applyFont="1" applyFill="1" applyBorder="1" applyAlignment="1">
      <alignment horizontal="center" vertical="center" wrapText="1"/>
    </xf>
    <xf numFmtId="0" fontId="7" fillId="18" borderId="12" xfId="0" applyFont="1" applyFill="1" applyBorder="1" applyAlignment="1">
      <alignment horizontal="center" vertical="center" wrapText="1"/>
    </xf>
    <xf numFmtId="0" fontId="7" fillId="18" borderId="17" xfId="0" applyFont="1" applyFill="1" applyBorder="1" applyAlignment="1">
      <alignment horizontal="center" vertical="center" wrapText="1"/>
    </xf>
    <xf numFmtId="0" fontId="7" fillId="18" borderId="8" xfId="0" applyFont="1" applyFill="1" applyBorder="1" applyAlignment="1">
      <alignment horizontal="center" vertical="center" wrapText="1"/>
    </xf>
    <xf numFmtId="0" fontId="7" fillId="9" borderId="11" xfId="0" applyFont="1" applyFill="1" applyBorder="1" applyAlignment="1">
      <alignment horizontal="center" vertical="center" wrapText="1"/>
    </xf>
    <xf numFmtId="0" fontId="7" fillId="9" borderId="17"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8" xfId="0" applyFill="1" applyBorder="1" applyAlignment="1">
      <alignment horizontal="center" vertical="center" wrapText="1"/>
    </xf>
    <xf numFmtId="0" fontId="15" fillId="0" borderId="17" xfId="0" applyFont="1" applyFill="1" applyBorder="1" applyAlignment="1">
      <alignment horizontal="center" vertical="center" wrapText="1"/>
    </xf>
    <xf numFmtId="0" fontId="15" fillId="0" borderId="8" xfId="0" applyFont="1" applyFill="1" applyBorder="1" applyAlignment="1">
      <alignment horizontal="center" vertical="center" wrapText="1"/>
    </xf>
    <xf numFmtId="42" fontId="7" fillId="0" borderId="12" xfId="1" applyFont="1" applyFill="1" applyBorder="1" applyAlignment="1">
      <alignment horizontal="center" vertical="center" wrapText="1"/>
    </xf>
    <xf numFmtId="0" fontId="2" fillId="0" borderId="11" xfId="0" applyFont="1" applyFill="1" applyBorder="1" applyAlignment="1">
      <alignment horizontal="center" vertical="center" wrapText="1"/>
    </xf>
    <xf numFmtId="0" fontId="0" fillId="0" borderId="9" xfId="0" applyFill="1" applyBorder="1" applyAlignment="1">
      <alignment horizontal="center" vertical="center" wrapText="1"/>
    </xf>
    <xf numFmtId="0" fontId="7" fillId="3" borderId="23" xfId="0" applyFont="1" applyFill="1" applyBorder="1" applyAlignment="1">
      <alignment horizontal="center" vertical="center"/>
    </xf>
    <xf numFmtId="0" fontId="7" fillId="3" borderId="42" xfId="0" applyFont="1" applyFill="1" applyBorder="1" applyAlignment="1">
      <alignment horizontal="center" vertical="center"/>
    </xf>
    <xf numFmtId="0" fontId="7" fillId="9" borderId="11" xfId="0" applyFont="1" applyFill="1" applyBorder="1" applyAlignment="1">
      <alignment horizontal="center" vertical="center"/>
    </xf>
    <xf numFmtId="0" fontId="7" fillId="9" borderId="8" xfId="0" applyFont="1" applyFill="1" applyBorder="1" applyAlignment="1">
      <alignment horizontal="center" vertical="center"/>
    </xf>
    <xf numFmtId="0" fontId="0" fillId="0" borderId="11" xfId="0"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9" xfId="0" applyFont="1" applyFill="1" applyBorder="1" applyAlignment="1">
      <alignment horizontal="center" vertical="center" wrapText="1"/>
    </xf>
    <xf numFmtId="42" fontId="7" fillId="0" borderId="9" xfId="1" applyFont="1" applyFill="1" applyBorder="1" applyAlignment="1">
      <alignment horizontal="center" vertical="center" wrapText="1"/>
    </xf>
    <xf numFmtId="0" fontId="15" fillId="0" borderId="1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7" fillId="13" borderId="12" xfId="0" applyFont="1" applyFill="1" applyBorder="1" applyAlignment="1">
      <alignment horizontal="center" vertical="center" wrapText="1"/>
    </xf>
    <xf numFmtId="0" fontId="7" fillId="13" borderId="17" xfId="0" applyFont="1" applyFill="1" applyBorder="1" applyAlignment="1">
      <alignment horizontal="center" vertical="center" wrapText="1"/>
    </xf>
    <xf numFmtId="0" fontId="7" fillId="9" borderId="9" xfId="0" applyFont="1" applyFill="1" applyBorder="1" applyAlignment="1">
      <alignment horizontal="center" vertical="center" wrapText="1"/>
    </xf>
    <xf numFmtId="0" fontId="7" fillId="19" borderId="12" xfId="0" applyFont="1" applyFill="1" applyBorder="1" applyAlignment="1">
      <alignment horizontal="center" vertical="center" wrapText="1"/>
    </xf>
    <xf numFmtId="0" fontId="7" fillId="19" borderId="17" xfId="0" applyFont="1" applyFill="1" applyBorder="1" applyAlignment="1">
      <alignment horizontal="center" vertical="center" wrapText="1"/>
    </xf>
    <xf numFmtId="0" fontId="7" fillId="19" borderId="9" xfId="0" applyFont="1" applyFill="1" applyBorder="1" applyAlignment="1">
      <alignment horizontal="center" vertical="center" wrapText="1"/>
    </xf>
    <xf numFmtId="0" fontId="10" fillId="19" borderId="12" xfId="0" applyFont="1" applyFill="1" applyBorder="1" applyAlignment="1">
      <alignment horizontal="center" vertical="center" wrapText="1"/>
    </xf>
    <xf numFmtId="0" fontId="10" fillId="19" borderId="8" xfId="0" applyFont="1" applyFill="1" applyBorder="1" applyAlignment="1">
      <alignment horizontal="center" vertical="center" wrapText="1"/>
    </xf>
    <xf numFmtId="0" fontId="7" fillId="19" borderId="11" xfId="0" applyFont="1" applyFill="1" applyBorder="1" applyAlignment="1">
      <alignment horizontal="center" vertical="center" wrapText="1"/>
    </xf>
    <xf numFmtId="0" fontId="7" fillId="19" borderId="8" xfId="0" applyFont="1" applyFill="1" applyBorder="1" applyAlignment="1">
      <alignment horizontal="center" vertical="center" wrapText="1"/>
    </xf>
    <xf numFmtId="0" fontId="10" fillId="19" borderId="11" xfId="0" applyFont="1" applyFill="1" applyBorder="1" applyAlignment="1">
      <alignment horizontal="center" vertical="center" wrapText="1"/>
    </xf>
    <xf numFmtId="0" fontId="10" fillId="19" borderId="17" xfId="0" applyFont="1" applyFill="1" applyBorder="1" applyAlignment="1">
      <alignment horizontal="center" vertical="center" wrapText="1"/>
    </xf>
    <xf numFmtId="0" fontId="7" fillId="11" borderId="12" xfId="0" applyFont="1" applyFill="1" applyBorder="1" applyAlignment="1">
      <alignment horizontal="center" vertical="center"/>
    </xf>
    <xf numFmtId="0" fontId="7" fillId="11" borderId="17" xfId="0" applyFont="1" applyFill="1" applyBorder="1" applyAlignment="1">
      <alignment horizontal="center" vertical="center"/>
    </xf>
    <xf numFmtId="0" fontId="7" fillId="11" borderId="9" xfId="0" applyFont="1" applyFill="1" applyBorder="1" applyAlignment="1">
      <alignment horizontal="center" vertical="center"/>
    </xf>
    <xf numFmtId="0" fontId="15" fillId="13" borderId="12" xfId="0" applyFont="1" applyFill="1" applyBorder="1" applyAlignment="1">
      <alignment horizontal="center" vertical="center"/>
    </xf>
    <xf numFmtId="0" fontId="15" fillId="13" borderId="17" xfId="0" applyFont="1" applyFill="1" applyBorder="1" applyAlignment="1">
      <alignment horizontal="center" vertical="center"/>
    </xf>
    <xf numFmtId="0" fontId="7" fillId="13" borderId="12" xfId="0" applyFont="1" applyFill="1" applyBorder="1" applyAlignment="1">
      <alignment horizontal="center" vertical="center"/>
    </xf>
    <xf numFmtId="0" fontId="7" fillId="13" borderId="9"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10" fillId="10" borderId="26" xfId="0" applyFont="1" applyFill="1" applyBorder="1" applyAlignment="1">
      <alignment horizontal="center" vertical="center" wrapText="1"/>
    </xf>
    <xf numFmtId="0" fontId="10" fillId="10" borderId="25"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4" borderId="18" xfId="0" applyFont="1" applyFill="1" applyBorder="1" applyAlignment="1">
      <alignment horizontal="center" vertical="center" wrapText="1"/>
    </xf>
    <xf numFmtId="0" fontId="11" fillId="10" borderId="8" xfId="0" applyFont="1" applyFill="1" applyBorder="1" applyAlignment="1">
      <alignment horizontal="center" vertical="center" wrapText="1"/>
    </xf>
    <xf numFmtId="0" fontId="11" fillId="10" borderId="11"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1" fillId="10" borderId="8" xfId="0" applyFont="1" applyFill="1" applyBorder="1" applyAlignment="1">
      <alignment horizontal="justify" vertical="center" wrapText="1"/>
    </xf>
    <xf numFmtId="0" fontId="11" fillId="10" borderId="11" xfId="0" applyFont="1" applyFill="1" applyBorder="1" applyAlignment="1">
      <alignment horizontal="justify" vertical="center" wrapText="1"/>
    </xf>
    <xf numFmtId="0" fontId="9" fillId="4" borderId="8"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7" fillId="19" borderId="11" xfId="0" applyFont="1" applyFill="1" applyBorder="1" applyAlignment="1">
      <alignment horizontal="center" vertical="center"/>
    </xf>
    <xf numFmtId="0" fontId="7" fillId="19" borderId="17" xfId="0" applyFont="1" applyFill="1" applyBorder="1" applyAlignment="1">
      <alignment horizontal="center" vertical="center"/>
    </xf>
    <xf numFmtId="0" fontId="7" fillId="19" borderId="9" xfId="0" applyFont="1" applyFill="1" applyBorder="1" applyAlignment="1">
      <alignment horizontal="center" vertical="center"/>
    </xf>
    <xf numFmtId="0" fontId="7" fillId="19" borderId="8" xfId="0" applyFont="1" applyFill="1" applyBorder="1" applyAlignment="1">
      <alignment horizontal="center" vertical="center"/>
    </xf>
    <xf numFmtId="0" fontId="7" fillId="11" borderId="8" xfId="0" applyFont="1" applyFill="1" applyBorder="1" applyAlignment="1">
      <alignment horizontal="center" vertical="center"/>
    </xf>
    <xf numFmtId="0" fontId="7" fillId="11" borderId="11" xfId="0" applyFont="1" applyFill="1" applyBorder="1" applyAlignment="1">
      <alignment horizontal="center" vertical="center"/>
    </xf>
    <xf numFmtId="0" fontId="7" fillId="9" borderId="12" xfId="0" applyFont="1" applyFill="1" applyBorder="1" applyAlignment="1">
      <alignment horizontal="center" vertical="center"/>
    </xf>
    <xf numFmtId="0" fontId="7" fillId="9" borderId="17" xfId="0" applyFont="1" applyFill="1" applyBorder="1" applyAlignment="1">
      <alignment horizontal="center" vertical="center"/>
    </xf>
    <xf numFmtId="0" fontId="7" fillId="9" borderId="9" xfId="0" applyFont="1" applyFill="1" applyBorder="1" applyAlignment="1">
      <alignment horizontal="center" vertical="center"/>
    </xf>
    <xf numFmtId="0" fontId="9" fillId="3" borderId="1" xfId="0" applyFont="1" applyFill="1" applyBorder="1" applyAlignment="1">
      <alignment horizontal="center" vertical="center" wrapText="1"/>
    </xf>
    <xf numFmtId="0" fontId="8" fillId="2" borderId="1" xfId="0" applyFont="1" applyFill="1" applyBorder="1" applyAlignment="1" applyProtection="1">
      <alignment horizontal="left" vertical="center" wrapText="1"/>
    </xf>
    <xf numFmtId="0" fontId="7" fillId="11" borderId="35" xfId="0" applyFont="1" applyFill="1" applyBorder="1" applyAlignment="1">
      <alignment horizontal="center" vertical="center" wrapText="1"/>
    </xf>
    <xf numFmtId="0" fontId="7" fillId="11" borderId="23" xfId="0" applyFont="1" applyFill="1" applyBorder="1" applyAlignment="1">
      <alignment horizontal="center" vertical="center" wrapText="1"/>
    </xf>
    <xf numFmtId="0" fontId="7" fillId="11" borderId="22" xfId="0" applyFont="1" applyFill="1" applyBorder="1" applyAlignment="1">
      <alignment horizontal="center" vertical="center" wrapText="1"/>
    </xf>
    <xf numFmtId="0" fontId="10" fillId="13" borderId="12" xfId="0" applyFont="1" applyFill="1" applyBorder="1" applyAlignment="1">
      <alignment horizontal="center" vertical="center" wrapText="1"/>
    </xf>
    <xf numFmtId="0" fontId="10" fillId="13" borderId="17" xfId="0" applyFont="1" applyFill="1" applyBorder="1" applyAlignment="1">
      <alignment horizontal="center" vertical="center" wrapText="1"/>
    </xf>
    <xf numFmtId="0" fontId="10" fillId="13" borderId="9" xfId="0" applyFont="1" applyFill="1" applyBorder="1" applyAlignment="1">
      <alignment horizontal="center" vertical="center" wrapText="1"/>
    </xf>
    <xf numFmtId="0" fontId="7" fillId="13" borderId="22" xfId="0" applyFont="1" applyFill="1" applyBorder="1" applyAlignment="1">
      <alignment horizontal="center" vertical="center" wrapText="1"/>
    </xf>
    <xf numFmtId="0" fontId="7" fillId="13" borderId="23" xfId="0" applyFont="1" applyFill="1" applyBorder="1" applyAlignment="1">
      <alignment horizontal="center" vertical="center" wrapText="1"/>
    </xf>
    <xf numFmtId="0" fontId="7" fillId="13" borderId="24" xfId="0" applyFont="1" applyFill="1" applyBorder="1" applyAlignment="1">
      <alignment horizontal="center" vertical="center" wrapText="1"/>
    </xf>
    <xf numFmtId="0" fontId="7" fillId="13" borderId="40" xfId="0" applyFont="1" applyFill="1" applyBorder="1" applyAlignment="1">
      <alignment horizontal="center" vertical="center" wrapText="1"/>
    </xf>
    <xf numFmtId="0" fontId="7" fillId="13" borderId="41" xfId="0" applyFont="1" applyFill="1" applyBorder="1" applyAlignment="1">
      <alignment horizontal="center" vertical="center" wrapText="1"/>
    </xf>
    <xf numFmtId="0" fontId="12" fillId="13" borderId="11" xfId="0" applyFont="1" applyFill="1" applyBorder="1" applyAlignment="1">
      <alignment horizontal="center" vertical="center" wrapText="1"/>
    </xf>
    <xf numFmtId="0" fontId="12" fillId="13" borderId="17" xfId="0" applyFont="1" applyFill="1" applyBorder="1" applyAlignment="1">
      <alignment horizontal="center" vertical="center" wrapText="1"/>
    </xf>
    <xf numFmtId="0" fontId="12" fillId="13" borderId="9" xfId="0" applyFont="1" applyFill="1" applyBorder="1" applyAlignment="1">
      <alignment horizontal="center" vertical="center" wrapText="1"/>
    </xf>
    <xf numFmtId="0" fontId="20" fillId="0" borderId="30" xfId="0" applyFont="1" applyBorder="1" applyAlignment="1">
      <alignment horizontal="center" vertical="center" wrapText="1"/>
    </xf>
    <xf numFmtId="0" fontId="20" fillId="0" borderId="31" xfId="0" applyFont="1" applyBorder="1" applyAlignment="1">
      <alignment horizontal="center" vertical="center" wrapText="1"/>
    </xf>
    <xf numFmtId="0" fontId="10" fillId="4" borderId="45" xfId="0" applyFont="1" applyFill="1" applyBorder="1" applyAlignment="1">
      <alignment horizontal="center" vertical="center" wrapText="1"/>
    </xf>
    <xf numFmtId="0" fontId="10" fillId="4" borderId="17" xfId="0" applyFont="1" applyFill="1" applyBorder="1" applyAlignment="1">
      <alignment horizontal="center" vertical="center"/>
    </xf>
    <xf numFmtId="0" fontId="10" fillId="4" borderId="28"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7" fillId="11" borderId="12" xfId="0" applyFont="1" applyFill="1" applyBorder="1" applyAlignment="1">
      <alignment horizontal="left" vertical="center" wrapText="1"/>
    </xf>
    <xf numFmtId="0" fontId="7" fillId="11" borderId="17" xfId="0" applyFont="1" applyFill="1" applyBorder="1" applyAlignment="1">
      <alignment horizontal="left" vertical="center" wrapText="1"/>
    </xf>
    <xf numFmtId="0" fontId="7" fillId="11" borderId="9" xfId="0" applyFont="1" applyFill="1" applyBorder="1" applyAlignment="1">
      <alignment horizontal="left" vertical="center" wrapText="1"/>
    </xf>
    <xf numFmtId="0" fontId="7" fillId="11" borderId="24" xfId="0" applyFont="1" applyFill="1" applyBorder="1" applyAlignment="1">
      <alignment horizontal="center" vertical="center" wrapText="1"/>
    </xf>
    <xf numFmtId="0" fontId="7" fillId="11" borderId="11" xfId="0" applyFont="1" applyFill="1" applyBorder="1" applyAlignment="1">
      <alignment horizontal="center" vertical="center" wrapText="1"/>
    </xf>
    <xf numFmtId="0" fontId="15" fillId="11" borderId="11" xfId="0" applyFont="1" applyFill="1" applyBorder="1" applyAlignment="1">
      <alignment horizontal="center" vertical="center"/>
    </xf>
    <xf numFmtId="0" fontId="15" fillId="11" borderId="8" xfId="0" applyFont="1" applyFill="1" applyBorder="1" applyAlignment="1">
      <alignment horizontal="center" vertical="center"/>
    </xf>
    <xf numFmtId="0" fontId="9" fillId="4" borderId="6"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3" borderId="1" xfId="0" applyFont="1" applyFill="1" applyBorder="1" applyAlignment="1">
      <alignment horizontal="center" wrapText="1"/>
    </xf>
    <xf numFmtId="0" fontId="7" fillId="11" borderId="38" xfId="0" applyFont="1" applyFill="1" applyBorder="1" applyAlignment="1">
      <alignment horizontal="center" vertical="center" wrapText="1"/>
    </xf>
    <xf numFmtId="0" fontId="7" fillId="11" borderId="39" xfId="0" applyFont="1" applyFill="1" applyBorder="1" applyAlignment="1">
      <alignment horizontal="center" vertical="center" wrapText="1"/>
    </xf>
    <xf numFmtId="0" fontId="7" fillId="11" borderId="16" xfId="0" applyFont="1" applyFill="1" applyBorder="1" applyAlignment="1">
      <alignment horizontal="center" vertical="center" wrapText="1"/>
    </xf>
    <xf numFmtId="0" fontId="10" fillId="11" borderId="12" xfId="0" applyFont="1" applyFill="1" applyBorder="1" applyAlignment="1">
      <alignment horizontal="center" vertical="center" wrapText="1"/>
    </xf>
    <xf numFmtId="0" fontId="10" fillId="11" borderId="17" xfId="0" applyFont="1" applyFill="1" applyBorder="1" applyAlignment="1">
      <alignment horizontal="center" vertical="center" wrapText="1"/>
    </xf>
    <xf numFmtId="0" fontId="10" fillId="11" borderId="9"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7" fillId="7" borderId="11" xfId="0" applyFont="1" applyFill="1" applyBorder="1" applyAlignment="1">
      <alignment horizontal="left" vertical="center" wrapText="1"/>
    </xf>
    <xf numFmtId="0" fontId="7" fillId="7" borderId="17" xfId="0" applyFont="1" applyFill="1" applyBorder="1" applyAlignment="1">
      <alignment horizontal="left" vertical="center" wrapText="1"/>
    </xf>
    <xf numFmtId="0" fontId="7" fillId="7" borderId="8" xfId="0" applyFont="1" applyFill="1" applyBorder="1" applyAlignment="1">
      <alignment horizontal="left" vertical="center" wrapText="1"/>
    </xf>
    <xf numFmtId="0" fontId="7" fillId="13" borderId="9" xfId="0" applyFont="1" applyFill="1" applyBorder="1" applyAlignment="1">
      <alignment horizontal="center" vertical="center"/>
    </xf>
    <xf numFmtId="0" fontId="7" fillId="0" borderId="9" xfId="0" applyFont="1" applyFill="1" applyBorder="1" applyAlignment="1">
      <alignment horizontal="center" vertical="center" wrapText="1"/>
    </xf>
    <xf numFmtId="42" fontId="7" fillId="0" borderId="12" xfId="0" applyNumberFormat="1" applyFont="1" applyFill="1" applyBorder="1" applyAlignment="1">
      <alignment horizontal="center" vertical="center" wrapText="1"/>
    </xf>
    <xf numFmtId="0" fontId="8" fillId="2" borderId="11" xfId="0" applyFont="1" applyFill="1" applyBorder="1" applyAlignment="1" applyProtection="1">
      <alignment horizontal="center" vertical="center" wrapText="1"/>
    </xf>
    <xf numFmtId="0" fontId="8" fillId="2" borderId="17" xfId="0"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xf>
    <xf numFmtId="0" fontId="10" fillId="7" borderId="12" xfId="0" applyFont="1" applyFill="1" applyBorder="1" applyAlignment="1">
      <alignment horizontal="center" vertical="center" wrapText="1"/>
    </xf>
    <xf numFmtId="0" fontId="10" fillId="7" borderId="17" xfId="0" applyFont="1" applyFill="1" applyBorder="1" applyAlignment="1">
      <alignment horizontal="center" vertical="center" wrapText="1"/>
    </xf>
    <xf numFmtId="0" fontId="10" fillId="7" borderId="9" xfId="0" applyFont="1" applyFill="1" applyBorder="1" applyAlignment="1">
      <alignment horizontal="center" vertical="center" wrapText="1"/>
    </xf>
    <xf numFmtId="0" fontId="7" fillId="7" borderId="12"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7" fillId="13" borderId="62" xfId="0" applyFont="1" applyFill="1" applyBorder="1" applyAlignment="1">
      <alignment horizontal="center" vertical="center" wrapText="1"/>
    </xf>
    <xf numFmtId="0" fontId="7" fillId="13" borderId="43" xfId="0" applyFont="1" applyFill="1" applyBorder="1" applyAlignment="1">
      <alignment horizontal="center" vertical="center" wrapText="1"/>
    </xf>
    <xf numFmtId="0" fontId="7" fillId="13" borderId="63" xfId="0" applyFont="1" applyFill="1" applyBorder="1" applyAlignment="1">
      <alignment horizontal="center" vertical="center" wrapText="1"/>
    </xf>
    <xf numFmtId="0" fontId="10" fillId="18" borderId="12" xfId="0" applyFont="1" applyFill="1" applyBorder="1" applyAlignment="1">
      <alignment horizontal="center" vertical="center" wrapText="1"/>
    </xf>
    <xf numFmtId="0" fontId="10" fillId="18" borderId="17" xfId="0" applyFont="1" applyFill="1" applyBorder="1" applyAlignment="1">
      <alignment horizontal="center" vertical="center" wrapText="1"/>
    </xf>
    <xf numFmtId="0" fontId="10" fillId="18" borderId="9" xfId="0" applyFont="1" applyFill="1" applyBorder="1" applyAlignment="1">
      <alignment horizontal="center" vertical="center" wrapText="1"/>
    </xf>
    <xf numFmtId="0" fontId="10" fillId="9" borderId="12" xfId="0" applyFont="1" applyFill="1" applyBorder="1" applyAlignment="1">
      <alignment horizontal="center" vertical="center" wrapText="1"/>
    </xf>
    <xf numFmtId="0" fontId="10" fillId="9" borderId="17" xfId="0" applyFont="1" applyFill="1" applyBorder="1" applyAlignment="1">
      <alignment horizontal="center" vertical="center" wrapText="1"/>
    </xf>
    <xf numFmtId="0" fontId="10" fillId="9" borderId="9" xfId="0" applyFont="1" applyFill="1" applyBorder="1" applyAlignment="1">
      <alignment horizontal="center" vertical="center" wrapText="1"/>
    </xf>
    <xf numFmtId="0" fontId="7" fillId="9" borderId="12" xfId="0" applyFont="1" applyFill="1" applyBorder="1" applyAlignment="1">
      <alignment horizontal="center" vertical="center" wrapText="1"/>
    </xf>
    <xf numFmtId="0" fontId="10" fillId="15" borderId="12" xfId="0" applyFont="1" applyFill="1" applyBorder="1" applyAlignment="1">
      <alignment horizontal="center" vertical="center" wrapText="1"/>
    </xf>
    <xf numFmtId="0" fontId="10" fillId="15" borderId="17" xfId="0" applyFont="1" applyFill="1" applyBorder="1" applyAlignment="1">
      <alignment horizontal="center" vertical="center" wrapText="1"/>
    </xf>
    <xf numFmtId="0" fontId="10" fillId="15" borderId="9" xfId="0" applyFont="1" applyFill="1" applyBorder="1" applyAlignment="1">
      <alignment horizontal="center" vertical="center" wrapText="1"/>
    </xf>
    <xf numFmtId="42" fontId="7" fillId="0" borderId="1" xfId="1" applyFont="1" applyBorder="1" applyAlignment="1">
      <alignment horizontal="center" vertical="center" wrapText="1"/>
    </xf>
    <xf numFmtId="42" fontId="7" fillId="24" borderId="11" xfId="1" applyFont="1" applyFill="1" applyBorder="1" applyAlignment="1">
      <alignment horizontal="center" vertical="center" wrapText="1"/>
    </xf>
    <xf numFmtId="42" fontId="7" fillId="24" borderId="8" xfId="1" applyFont="1" applyFill="1" applyBorder="1" applyAlignment="1">
      <alignment horizontal="center" vertical="center" wrapText="1"/>
    </xf>
    <xf numFmtId="0" fontId="10" fillId="19" borderId="9" xfId="0" applyFont="1" applyFill="1" applyBorder="1" applyAlignment="1">
      <alignment horizontal="center" vertical="center" wrapText="1"/>
    </xf>
    <xf numFmtId="42" fontId="7" fillId="15" borderId="11" xfId="1" applyFont="1" applyFill="1" applyBorder="1" applyAlignment="1">
      <alignment horizontal="center" vertical="center" wrapText="1"/>
    </xf>
    <xf numFmtId="42" fontId="7" fillId="15" borderId="17" xfId="1" applyFont="1" applyFill="1" applyBorder="1" applyAlignment="1">
      <alignment horizontal="center" vertical="center" wrapText="1"/>
    </xf>
    <xf numFmtId="42" fontId="7" fillId="15" borderId="8" xfId="1" applyFont="1" applyFill="1" applyBorder="1" applyAlignment="1">
      <alignment horizontal="center" vertical="center" wrapText="1"/>
    </xf>
    <xf numFmtId="9" fontId="12" fillId="15" borderId="11" xfId="0" applyNumberFormat="1" applyFont="1" applyFill="1" applyBorder="1" applyAlignment="1">
      <alignment horizontal="center" vertical="center"/>
    </xf>
    <xf numFmtId="9" fontId="12" fillId="15" borderId="8" xfId="0" applyNumberFormat="1" applyFont="1" applyFill="1" applyBorder="1" applyAlignment="1">
      <alignment horizontal="center" vertical="center"/>
    </xf>
    <xf numFmtId="42" fontId="11" fillId="24" borderId="1" xfId="1"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0" borderId="12" xfId="0" applyFont="1" applyFill="1" applyBorder="1" applyAlignment="1">
      <alignment horizontal="center" vertical="center" wrapText="1"/>
    </xf>
    <xf numFmtId="9" fontId="14" fillId="15" borderId="1" xfId="0" applyNumberFormat="1" applyFont="1" applyFill="1" applyBorder="1" applyAlignment="1">
      <alignment horizontal="center" vertical="center"/>
    </xf>
    <xf numFmtId="0" fontId="7" fillId="18" borderId="12" xfId="0" applyFont="1" applyFill="1" applyBorder="1" applyAlignment="1">
      <alignment horizontal="center" vertical="center"/>
    </xf>
    <xf numFmtId="0" fontId="7" fillId="18" borderId="17" xfId="0" applyFont="1" applyFill="1" applyBorder="1" applyAlignment="1">
      <alignment horizontal="center" vertical="center"/>
    </xf>
    <xf numFmtId="0" fontId="7" fillId="18" borderId="8" xfId="0" applyFont="1" applyFill="1" applyBorder="1" applyAlignment="1">
      <alignment horizontal="center" vertical="center"/>
    </xf>
    <xf numFmtId="0" fontId="7" fillId="15" borderId="9" xfId="0" applyFont="1" applyFill="1" applyBorder="1" applyAlignment="1">
      <alignment horizontal="center" vertical="center"/>
    </xf>
    <xf numFmtId="9" fontId="14" fillId="15" borderId="11" xfId="0" applyNumberFormat="1" applyFont="1" applyFill="1" applyBorder="1" applyAlignment="1">
      <alignment horizontal="center" vertical="center"/>
    </xf>
    <xf numFmtId="9" fontId="14" fillId="15" borderId="17" xfId="0" applyNumberFormat="1" applyFont="1" applyFill="1" applyBorder="1" applyAlignment="1">
      <alignment horizontal="center" vertical="center"/>
    </xf>
    <xf numFmtId="0" fontId="11" fillId="4" borderId="1" xfId="0" applyFont="1" applyFill="1" applyBorder="1" applyAlignment="1">
      <alignment horizontal="center" vertical="center" wrapText="1"/>
    </xf>
    <xf numFmtId="0" fontId="10" fillId="4" borderId="1" xfId="0" applyFont="1" applyFill="1" applyBorder="1" applyAlignment="1">
      <alignment horizontal="center" vertical="center"/>
    </xf>
    <xf numFmtId="0" fontId="11" fillId="4" borderId="1" xfId="0" applyFont="1" applyFill="1" applyBorder="1" applyAlignment="1">
      <alignment horizontal="justify" vertical="center" wrapText="1"/>
    </xf>
    <xf numFmtId="0" fontId="9" fillId="21" borderId="1" xfId="0" applyFont="1" applyFill="1" applyBorder="1" applyAlignment="1">
      <alignment horizontal="center" vertical="center" wrapText="1"/>
    </xf>
    <xf numFmtId="0" fontId="7" fillId="3" borderId="44" xfId="0" applyFont="1" applyFill="1" applyBorder="1" applyAlignment="1">
      <alignment horizontal="center" vertical="center" wrapText="1"/>
    </xf>
    <xf numFmtId="0" fontId="7" fillId="3" borderId="43"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7" fillId="11" borderId="1" xfId="0" applyFont="1" applyFill="1" applyBorder="1" applyAlignment="1">
      <alignment horizontal="left" vertical="center" wrapText="1"/>
    </xf>
    <xf numFmtId="0" fontId="9" fillId="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7" fillId="11" borderId="1" xfId="0" applyFont="1" applyFill="1" applyBorder="1" applyAlignment="1">
      <alignment horizontal="center" vertical="center"/>
    </xf>
    <xf numFmtId="0" fontId="15" fillId="11" borderId="1" xfId="0" applyFont="1" applyFill="1" applyBorder="1" applyAlignment="1">
      <alignment horizontal="center" vertical="center" wrapText="1"/>
    </xf>
    <xf numFmtId="164" fontId="15" fillId="11" borderId="1" xfId="0" applyNumberFormat="1" applyFont="1" applyFill="1" applyBorder="1" applyAlignment="1">
      <alignment horizontal="center" vertical="center" wrapText="1"/>
    </xf>
    <xf numFmtId="0" fontId="11" fillId="21" borderId="1" xfId="0" applyFont="1" applyFill="1" applyBorder="1" applyAlignment="1">
      <alignment horizontal="center" vertical="center" wrapText="1"/>
    </xf>
    <xf numFmtId="0" fontId="11" fillId="9" borderId="1" xfId="0" applyFont="1" applyFill="1" applyBorder="1" applyAlignment="1">
      <alignment horizontal="center" vertical="center" wrapText="1"/>
    </xf>
    <xf numFmtId="164" fontId="15" fillId="9" borderId="1" xfId="0" applyNumberFormat="1" applyFont="1" applyFill="1" applyBorder="1" applyAlignment="1">
      <alignment horizontal="center" vertical="center" wrapText="1"/>
    </xf>
    <xf numFmtId="0" fontId="15" fillId="11" borderId="1" xfId="0" applyFont="1" applyFill="1" applyBorder="1" applyAlignment="1">
      <alignment horizontal="center" vertical="center"/>
    </xf>
    <xf numFmtId="0" fontId="11" fillId="9" borderId="1" xfId="0" applyFont="1" applyFill="1" applyBorder="1" applyAlignment="1">
      <alignment horizontal="left" vertical="center" wrapText="1"/>
    </xf>
    <xf numFmtId="0" fontId="7" fillId="9" borderId="1" xfId="0" applyFont="1" applyFill="1" applyBorder="1" applyAlignment="1">
      <alignment horizontal="left" vertical="center" wrapText="1"/>
    </xf>
    <xf numFmtId="42" fontId="11" fillId="22" borderId="1" xfId="1" applyFont="1" applyFill="1" applyBorder="1" applyAlignment="1">
      <alignment horizontal="center" vertical="center" wrapText="1"/>
    </xf>
    <xf numFmtId="0" fontId="15" fillId="13" borderId="1" xfId="0" applyFont="1" applyFill="1" applyBorder="1" applyAlignment="1">
      <alignment horizontal="center" vertical="center"/>
    </xf>
    <xf numFmtId="0" fontId="7" fillId="13" borderId="1" xfId="0" applyFont="1" applyFill="1" applyBorder="1" applyAlignment="1">
      <alignment horizontal="center" vertical="center"/>
    </xf>
    <xf numFmtId="0" fontId="7" fillId="13" borderId="1" xfId="0" applyFont="1" applyFill="1" applyBorder="1" applyAlignment="1">
      <alignment horizontal="center" vertical="center" wrapText="1"/>
    </xf>
    <xf numFmtId="0" fontId="12" fillId="13" borderId="1" xfId="0" applyFont="1" applyFill="1" applyBorder="1" applyAlignment="1">
      <alignment horizontal="center" vertical="center" wrapText="1"/>
    </xf>
    <xf numFmtId="42" fontId="7" fillId="13" borderId="1" xfId="1" applyFont="1" applyFill="1" applyBorder="1" applyAlignment="1">
      <alignment horizontal="center" vertical="center" wrapText="1"/>
    </xf>
    <xf numFmtId="0" fontId="0" fillId="13" borderId="1" xfId="0" applyFill="1" applyBorder="1" applyAlignment="1">
      <alignment horizontal="center" vertical="center" wrapText="1"/>
    </xf>
    <xf numFmtId="0" fontId="15" fillId="13" borderId="1" xfId="0" applyFont="1" applyFill="1" applyBorder="1" applyAlignment="1">
      <alignment horizontal="center" vertical="center" wrapText="1"/>
    </xf>
    <xf numFmtId="0" fontId="7" fillId="20" borderId="1" xfId="0" applyFont="1" applyFill="1" applyBorder="1" applyAlignment="1">
      <alignment horizontal="center" vertical="center" wrapText="1"/>
    </xf>
    <xf numFmtId="10" fontId="11" fillId="22" borderId="11" xfId="2" applyNumberFormat="1" applyFont="1" applyFill="1" applyBorder="1" applyAlignment="1">
      <alignment horizontal="center" vertical="center" wrapText="1"/>
    </xf>
    <xf numFmtId="10" fontId="11" fillId="22" borderId="8" xfId="2" applyNumberFormat="1" applyFont="1" applyFill="1" applyBorder="1" applyAlignment="1">
      <alignment horizontal="center" vertical="center" wrapText="1"/>
    </xf>
    <xf numFmtId="42" fontId="7" fillId="20" borderId="1" xfId="1" applyFont="1" applyFill="1" applyBorder="1" applyAlignment="1">
      <alignment horizontal="center" vertical="center" wrapText="1"/>
    </xf>
    <xf numFmtId="42" fontId="7" fillId="13" borderId="11" xfId="1" applyFont="1" applyFill="1" applyBorder="1" applyAlignment="1">
      <alignment horizontal="center" vertical="center" wrapText="1"/>
    </xf>
    <xf numFmtId="42" fontId="7" fillId="13" borderId="8" xfId="1" applyFont="1" applyFill="1" applyBorder="1" applyAlignment="1">
      <alignment horizontal="center" vertical="center" wrapText="1"/>
    </xf>
    <xf numFmtId="10" fontId="7" fillId="20" borderId="1" xfId="2" applyNumberFormat="1" applyFont="1" applyFill="1" applyBorder="1" applyAlignment="1">
      <alignment horizontal="center" vertical="center" wrapText="1"/>
    </xf>
    <xf numFmtId="10" fontId="35" fillId="22" borderId="11" xfId="2" applyNumberFormat="1" applyFont="1" applyFill="1" applyBorder="1" applyAlignment="1">
      <alignment horizontal="center" vertical="center" wrapText="1"/>
    </xf>
    <xf numFmtId="10" fontId="35" fillId="22" borderId="17" xfId="2" applyNumberFormat="1" applyFont="1" applyFill="1" applyBorder="1" applyAlignment="1">
      <alignment horizontal="center" vertical="center" wrapText="1"/>
    </xf>
    <xf numFmtId="10" fontId="35" fillId="22" borderId="8" xfId="2" applyNumberFormat="1" applyFont="1" applyFill="1" applyBorder="1" applyAlignment="1">
      <alignment horizontal="center" vertical="center" wrapText="1"/>
    </xf>
    <xf numFmtId="42" fontId="7" fillId="20" borderId="11" xfId="0" applyNumberFormat="1" applyFont="1" applyFill="1" applyBorder="1" applyAlignment="1">
      <alignment horizontal="center" vertical="center" wrapText="1"/>
    </xf>
    <xf numFmtId="0" fontId="7" fillId="20" borderId="8" xfId="0" applyFont="1" applyFill="1" applyBorder="1" applyAlignment="1">
      <alignment horizontal="center" vertical="center" wrapText="1"/>
    </xf>
    <xf numFmtId="0" fontId="9" fillId="22" borderId="6" xfId="0" applyFont="1" applyFill="1" applyBorder="1" applyAlignment="1">
      <alignment horizontal="center" vertical="center" wrapText="1"/>
    </xf>
    <xf numFmtId="0" fontId="9" fillId="22" borderId="4" xfId="0" applyFont="1" applyFill="1" applyBorder="1" applyAlignment="1">
      <alignment horizontal="center" vertical="center" wrapText="1"/>
    </xf>
    <xf numFmtId="0" fontId="9" fillId="22" borderId="5" xfId="0" applyFont="1" applyFill="1" applyBorder="1" applyAlignment="1">
      <alignment horizontal="center" vertical="center" wrapText="1"/>
    </xf>
    <xf numFmtId="0" fontId="11" fillId="22" borderId="8" xfId="0" applyFont="1" applyFill="1" applyBorder="1" applyAlignment="1">
      <alignment horizontal="center" vertical="center" wrapText="1"/>
    </xf>
    <xf numFmtId="0" fontId="11" fillId="22" borderId="11" xfId="0" applyFont="1" applyFill="1" applyBorder="1" applyAlignment="1">
      <alignment horizontal="center" vertical="center" wrapText="1"/>
    </xf>
    <xf numFmtId="10" fontId="7" fillId="22" borderId="11" xfId="2" applyNumberFormat="1" applyFont="1" applyFill="1" applyBorder="1" applyAlignment="1">
      <alignment horizontal="center" vertical="center" wrapText="1"/>
    </xf>
    <xf numFmtId="10" fontId="7" fillId="22" borderId="17" xfId="2" applyNumberFormat="1" applyFont="1" applyFill="1" applyBorder="1" applyAlignment="1">
      <alignment horizontal="center" vertical="center" wrapText="1"/>
    </xf>
    <xf numFmtId="10" fontId="7" fillId="22" borderId="8" xfId="2" applyNumberFormat="1" applyFont="1" applyFill="1" applyBorder="1" applyAlignment="1">
      <alignment horizontal="center" vertical="center" wrapText="1"/>
    </xf>
    <xf numFmtId="42" fontId="35" fillId="15" borderId="1" xfId="1" applyFont="1" applyFill="1" applyBorder="1" applyAlignment="1">
      <alignment horizontal="center" vertical="center" wrapText="1"/>
    </xf>
    <xf numFmtId="42" fontId="35" fillId="22" borderId="11" xfId="1" applyFont="1" applyFill="1" applyBorder="1" applyAlignment="1">
      <alignment horizontal="center" vertical="center" wrapText="1"/>
    </xf>
    <xf numFmtId="42" fontId="35" fillId="22" borderId="17" xfId="1" applyFont="1" applyFill="1" applyBorder="1" applyAlignment="1">
      <alignment horizontal="center" vertical="center" wrapText="1"/>
    </xf>
    <xf numFmtId="42" fontId="35" fillId="22" borderId="8" xfId="1" applyFont="1" applyFill="1" applyBorder="1" applyAlignment="1">
      <alignment horizontal="center" vertical="center" wrapText="1"/>
    </xf>
    <xf numFmtId="42" fontId="7" fillId="22" borderId="11" xfId="1" applyFont="1" applyFill="1" applyBorder="1" applyAlignment="1">
      <alignment horizontal="center" vertical="center" wrapText="1"/>
    </xf>
    <xf numFmtId="42" fontId="7" fillId="22" borderId="17" xfId="1" applyFont="1" applyFill="1" applyBorder="1" applyAlignment="1">
      <alignment horizontal="center" vertical="center" wrapText="1"/>
    </xf>
    <xf numFmtId="42" fontId="7" fillId="22" borderId="8" xfId="1" applyFont="1" applyFill="1" applyBorder="1" applyAlignment="1">
      <alignment horizontal="center" vertical="center" wrapText="1"/>
    </xf>
    <xf numFmtId="0" fontId="11" fillId="4" borderId="8" xfId="0" applyFont="1" applyFill="1" applyBorder="1" applyAlignment="1">
      <alignment horizontal="justify" vertical="center" wrapText="1"/>
    </xf>
    <xf numFmtId="0" fontId="11" fillId="4" borderId="11" xfId="0" applyFont="1" applyFill="1" applyBorder="1" applyAlignment="1">
      <alignment horizontal="justify" vertical="center" wrapText="1"/>
    </xf>
    <xf numFmtId="0" fontId="9" fillId="3" borderId="10" xfId="0" applyFont="1" applyFill="1" applyBorder="1" applyAlignment="1">
      <alignment horizontal="left" vertical="center" wrapText="1"/>
    </xf>
    <xf numFmtId="0" fontId="9" fillId="3" borderId="29" xfId="0" applyFont="1" applyFill="1" applyBorder="1" applyAlignment="1">
      <alignment horizontal="left" vertical="center" wrapText="1"/>
    </xf>
    <xf numFmtId="0" fontId="9" fillId="3" borderId="7" xfId="0" applyFont="1" applyFill="1" applyBorder="1" applyAlignment="1">
      <alignment horizontal="left" vertical="center" wrapText="1"/>
    </xf>
    <xf numFmtId="0" fontId="8" fillId="2" borderId="10" xfId="0" applyFont="1" applyFill="1" applyBorder="1" applyAlignment="1" applyProtection="1">
      <alignment horizontal="left" vertical="center" wrapText="1"/>
    </xf>
    <xf numFmtId="0" fontId="8" fillId="2" borderId="29" xfId="0" applyFont="1" applyFill="1" applyBorder="1" applyAlignment="1" applyProtection="1">
      <alignment horizontal="left" vertical="center" wrapText="1"/>
    </xf>
    <xf numFmtId="0" fontId="8" fillId="2" borderId="7" xfId="0" applyFont="1" applyFill="1" applyBorder="1" applyAlignment="1" applyProtection="1">
      <alignment horizontal="left" vertical="center" wrapText="1"/>
    </xf>
    <xf numFmtId="0" fontId="11" fillId="22" borderId="14" xfId="0" applyFont="1" applyFill="1" applyBorder="1" applyAlignment="1">
      <alignment horizontal="center" vertical="center" wrapText="1"/>
    </xf>
    <xf numFmtId="0" fontId="11" fillId="22" borderId="18" xfId="0" applyFont="1" applyFill="1" applyBorder="1" applyAlignment="1">
      <alignment horizontal="center" vertical="center" wrapText="1"/>
    </xf>
    <xf numFmtId="42" fontId="7" fillId="20" borderId="8" xfId="0" applyNumberFormat="1" applyFont="1" applyFill="1" applyBorder="1" applyAlignment="1">
      <alignment horizontal="center" vertical="center" wrapText="1"/>
    </xf>
    <xf numFmtId="0" fontId="0" fillId="15" borderId="11" xfId="0" applyFill="1" applyBorder="1" applyAlignment="1">
      <alignment horizontal="center" vertical="center" wrapText="1"/>
    </xf>
    <xf numFmtId="0" fontId="0" fillId="15" borderId="17" xfId="0" applyFill="1" applyBorder="1" applyAlignment="1">
      <alignment horizontal="center" vertical="center" wrapText="1"/>
    </xf>
    <xf numFmtId="0" fontId="0" fillId="15" borderId="8" xfId="0" applyFill="1" applyBorder="1" applyAlignment="1">
      <alignment horizontal="center" vertical="center" wrapText="1"/>
    </xf>
    <xf numFmtId="0" fontId="7" fillId="20" borderId="18" xfId="0" applyFont="1" applyFill="1" applyBorder="1" applyAlignment="1">
      <alignment horizontal="left" vertical="center" wrapText="1"/>
    </xf>
    <xf numFmtId="0" fontId="7" fillId="20" borderId="27" xfId="0" applyFont="1" applyFill="1" applyBorder="1" applyAlignment="1">
      <alignment horizontal="left" vertical="center" wrapText="1"/>
    </xf>
    <xf numFmtId="0" fontId="7" fillId="20" borderId="44" xfId="0" applyFont="1" applyFill="1" applyBorder="1" applyAlignment="1">
      <alignment horizontal="left" vertical="center" wrapText="1"/>
    </xf>
    <xf numFmtId="0" fontId="7" fillId="20" borderId="14" xfId="0" applyFont="1" applyFill="1" applyBorder="1" applyAlignment="1">
      <alignment horizontal="left" vertical="center" wrapText="1"/>
    </xf>
    <xf numFmtId="0" fontId="7" fillId="20" borderId="28" xfId="0" applyFont="1" applyFill="1" applyBorder="1" applyAlignment="1">
      <alignment horizontal="left" vertical="center" wrapText="1"/>
    </xf>
    <xf numFmtId="0" fontId="7" fillId="20" borderId="15" xfId="0" applyFont="1" applyFill="1" applyBorder="1" applyAlignment="1">
      <alignment horizontal="left" vertical="center" wrapText="1"/>
    </xf>
    <xf numFmtId="0" fontId="15" fillId="15" borderId="12" xfId="0" applyFont="1" applyFill="1" applyBorder="1" applyAlignment="1">
      <alignment horizontal="center" vertical="center" wrapText="1"/>
    </xf>
    <xf numFmtId="0" fontId="15" fillId="15" borderId="17" xfId="0" applyFont="1" applyFill="1" applyBorder="1" applyAlignment="1">
      <alignment horizontal="center" vertical="center" wrapText="1"/>
    </xf>
    <xf numFmtId="0" fontId="15" fillId="15" borderId="8" xfId="0" applyFont="1" applyFill="1" applyBorder="1" applyAlignment="1">
      <alignment horizontal="center" vertical="center" wrapText="1"/>
    </xf>
    <xf numFmtId="42" fontId="7" fillId="20" borderId="12" xfId="0" applyNumberFormat="1" applyFont="1" applyFill="1" applyBorder="1" applyAlignment="1">
      <alignment horizontal="center" vertical="center" wrapText="1"/>
    </xf>
    <xf numFmtId="0" fontId="11" fillId="21" borderId="10" xfId="0" applyFont="1" applyFill="1" applyBorder="1" applyAlignment="1">
      <alignment horizontal="center" vertical="center" wrapText="1"/>
    </xf>
    <xf numFmtId="0" fontId="11" fillId="21" borderId="29" xfId="0" applyFont="1" applyFill="1" applyBorder="1" applyAlignment="1">
      <alignment horizontal="center" vertical="center" wrapText="1"/>
    </xf>
    <xf numFmtId="0" fontId="11" fillId="21" borderId="7" xfId="0" applyFont="1" applyFill="1" applyBorder="1" applyAlignment="1">
      <alignment horizontal="center" vertical="center" wrapText="1"/>
    </xf>
    <xf numFmtId="0" fontId="11" fillId="9" borderId="10" xfId="0" applyFont="1" applyFill="1" applyBorder="1" applyAlignment="1">
      <alignment horizontal="center" vertical="center" wrapText="1"/>
    </xf>
    <xf numFmtId="0" fontId="11" fillId="9" borderId="29" xfId="0" applyFont="1" applyFill="1" applyBorder="1" applyAlignment="1">
      <alignment horizontal="center" vertical="center" wrapText="1"/>
    </xf>
    <xf numFmtId="0" fontId="11" fillId="9" borderId="7" xfId="0" applyFont="1" applyFill="1" applyBorder="1" applyAlignment="1">
      <alignment horizontal="center" vertical="center" wrapText="1"/>
    </xf>
    <xf numFmtId="42" fontId="7" fillId="20" borderId="11" xfId="1" applyFont="1" applyFill="1" applyBorder="1" applyAlignment="1">
      <alignment horizontal="center" vertical="center" wrapText="1"/>
    </xf>
    <xf numFmtId="42" fontId="7" fillId="20" borderId="8" xfId="1" applyFont="1" applyFill="1" applyBorder="1" applyAlignment="1">
      <alignment horizontal="center" vertical="center" wrapText="1"/>
    </xf>
    <xf numFmtId="42" fontId="7" fillId="20" borderId="17" xfId="1" applyFont="1" applyFill="1" applyBorder="1" applyAlignment="1">
      <alignment horizontal="center" vertical="center" wrapText="1"/>
    </xf>
    <xf numFmtId="0" fontId="8" fillId="2" borderId="18" xfId="0" applyFont="1" applyFill="1" applyBorder="1" applyAlignment="1" applyProtection="1">
      <alignment horizontal="left" vertical="center" wrapText="1"/>
    </xf>
    <xf numFmtId="0" fontId="8" fillId="2" borderId="27" xfId="0" applyFont="1" applyFill="1" applyBorder="1" applyAlignment="1" applyProtection="1">
      <alignment horizontal="left" vertical="center" wrapText="1"/>
    </xf>
    <xf numFmtId="0" fontId="8" fillId="2" borderId="44" xfId="0" applyFont="1" applyFill="1" applyBorder="1" applyAlignment="1" applyProtection="1">
      <alignment horizontal="left" vertical="center" wrapText="1"/>
    </xf>
    <xf numFmtId="0" fontId="7" fillId="7" borderId="1" xfId="0" applyFont="1" applyFill="1" applyBorder="1" applyAlignment="1">
      <alignment horizontal="center" vertical="center" wrapText="1"/>
    </xf>
    <xf numFmtId="0" fontId="15" fillId="7" borderId="1" xfId="0" applyFont="1" applyFill="1" applyBorder="1" applyAlignment="1">
      <alignment horizontal="center" vertical="center" wrapText="1"/>
    </xf>
    <xf numFmtId="42" fontId="7" fillId="7" borderId="1" xfId="1" applyFont="1" applyFill="1" applyBorder="1" applyAlignment="1">
      <alignment horizontal="center" vertical="center" wrapText="1"/>
    </xf>
    <xf numFmtId="42" fontId="7" fillId="7" borderId="11" xfId="1" applyFont="1" applyFill="1" applyBorder="1" applyAlignment="1">
      <alignment horizontal="center" vertical="center" wrapText="1"/>
    </xf>
    <xf numFmtId="42" fontId="7" fillId="7" borderId="8" xfId="1" applyFont="1" applyFill="1" applyBorder="1" applyAlignment="1">
      <alignment horizontal="center" vertical="center" wrapText="1"/>
    </xf>
    <xf numFmtId="0" fontId="7" fillId="20" borderId="36" xfId="0" applyFont="1" applyFill="1" applyBorder="1" applyAlignment="1">
      <alignment horizontal="left" vertical="center" wrapText="1"/>
    </xf>
    <xf numFmtId="0" fontId="7" fillId="20" borderId="0" xfId="0" applyFont="1" applyFill="1" applyBorder="1" applyAlignment="1">
      <alignment horizontal="left" vertical="center" wrapText="1"/>
    </xf>
    <xf numFmtId="0" fontId="7" fillId="20" borderId="43" xfId="0" applyFont="1" applyFill="1" applyBorder="1" applyAlignment="1">
      <alignment horizontal="left" vertical="center" wrapText="1"/>
    </xf>
    <xf numFmtId="0" fontId="0" fillId="9" borderId="11" xfId="0" applyFill="1" applyBorder="1" applyAlignment="1">
      <alignment horizontal="center" vertical="center" wrapText="1"/>
    </xf>
    <xf numFmtId="0" fontId="0" fillId="9" borderId="8" xfId="0" applyFill="1" applyBorder="1" applyAlignment="1">
      <alignment horizontal="center" vertical="center" wrapText="1"/>
    </xf>
    <xf numFmtId="0" fontId="15" fillId="9" borderId="11" xfId="0" applyFont="1" applyFill="1" applyBorder="1" applyAlignment="1">
      <alignment horizontal="center" vertical="center" wrapText="1"/>
    </xf>
    <xf numFmtId="0" fontId="15" fillId="9" borderId="8" xfId="0" applyFont="1" applyFill="1" applyBorder="1" applyAlignment="1">
      <alignment horizontal="center" vertical="center" wrapText="1"/>
    </xf>
    <xf numFmtId="42" fontId="7" fillId="9" borderId="11" xfId="1" applyFont="1" applyFill="1" applyBorder="1" applyAlignment="1">
      <alignment horizontal="center" vertical="center" wrapText="1"/>
    </xf>
    <xf numFmtId="42" fontId="7" fillId="9" borderId="8" xfId="1" applyFont="1" applyFill="1" applyBorder="1" applyAlignment="1">
      <alignment horizontal="center" vertical="center" wrapText="1"/>
    </xf>
    <xf numFmtId="0" fontId="7" fillId="13" borderId="10" xfId="0" applyFont="1" applyFill="1" applyBorder="1" applyAlignment="1">
      <alignment horizontal="left" vertical="center" wrapText="1"/>
    </xf>
    <xf numFmtId="0" fontId="7" fillId="13" borderId="29" xfId="0" applyFont="1" applyFill="1" applyBorder="1" applyAlignment="1">
      <alignment horizontal="left" vertical="center" wrapText="1"/>
    </xf>
    <xf numFmtId="0" fontId="7" fillId="13" borderId="7" xfId="0" applyFont="1" applyFill="1" applyBorder="1" applyAlignment="1">
      <alignment horizontal="left" vertical="center" wrapText="1"/>
    </xf>
    <xf numFmtId="0" fontId="0" fillId="9" borderId="17" xfId="0" applyFill="1" applyBorder="1" applyAlignment="1">
      <alignment horizontal="center" vertical="center" wrapText="1"/>
    </xf>
    <xf numFmtId="0" fontId="15" fillId="9" borderId="17" xfId="0" applyFont="1" applyFill="1" applyBorder="1" applyAlignment="1">
      <alignment horizontal="center" vertical="center" wrapText="1"/>
    </xf>
    <xf numFmtId="42" fontId="7" fillId="9" borderId="17" xfId="1" applyFont="1" applyFill="1" applyBorder="1" applyAlignment="1">
      <alignment horizontal="center" vertical="center" wrapText="1"/>
    </xf>
    <xf numFmtId="0" fontId="7" fillId="20" borderId="10" xfId="0" applyFont="1" applyFill="1" applyBorder="1" applyAlignment="1">
      <alignment horizontal="left" vertical="center" wrapText="1"/>
    </xf>
    <xf numFmtId="0" fontId="7" fillId="20" borderId="29" xfId="0" applyFont="1" applyFill="1" applyBorder="1" applyAlignment="1">
      <alignment horizontal="left" vertical="center" wrapText="1"/>
    </xf>
    <xf numFmtId="0" fontId="7" fillId="20" borderId="7" xfId="0" applyFont="1" applyFill="1" applyBorder="1" applyAlignment="1">
      <alignment horizontal="left" vertical="center" wrapText="1"/>
    </xf>
    <xf numFmtId="42" fontId="7" fillId="15" borderId="12" xfId="1" applyFont="1" applyFill="1" applyBorder="1" applyAlignment="1">
      <alignment horizontal="center" vertical="center" wrapText="1"/>
    </xf>
    <xf numFmtId="42" fontId="7" fillId="15" borderId="9" xfId="1" applyFont="1" applyFill="1" applyBorder="1" applyAlignment="1">
      <alignment horizontal="center" vertical="center" wrapText="1"/>
    </xf>
    <xf numFmtId="9" fontId="14" fillId="15" borderId="8" xfId="0" applyNumberFormat="1" applyFont="1" applyFill="1" applyBorder="1" applyAlignment="1">
      <alignment horizontal="center" vertical="center"/>
    </xf>
    <xf numFmtId="0" fontId="15" fillId="15" borderId="11" xfId="0" applyFont="1" applyFill="1" applyBorder="1" applyAlignment="1">
      <alignment horizontal="center" vertical="center" wrapText="1"/>
    </xf>
    <xf numFmtId="0" fontId="7" fillId="20" borderId="1" xfId="0" applyFont="1" applyFill="1" applyBorder="1" applyAlignment="1">
      <alignment horizontal="left" vertical="center" wrapText="1"/>
    </xf>
    <xf numFmtId="9" fontId="12" fillId="15" borderId="12" xfId="0" applyNumberFormat="1" applyFont="1" applyFill="1" applyBorder="1" applyAlignment="1">
      <alignment horizontal="center" vertical="center"/>
    </xf>
    <xf numFmtId="0" fontId="10" fillId="20" borderId="18" xfId="0" applyFont="1" applyFill="1" applyBorder="1" applyAlignment="1">
      <alignment horizontal="left" vertical="center" wrapText="1"/>
    </xf>
    <xf numFmtId="0" fontId="10" fillId="20" borderId="27" xfId="0" applyFont="1" applyFill="1" applyBorder="1" applyAlignment="1">
      <alignment horizontal="left" vertical="center" wrapText="1"/>
    </xf>
    <xf numFmtId="0" fontId="10" fillId="20" borderId="44" xfId="0" applyFont="1" applyFill="1" applyBorder="1" applyAlignment="1">
      <alignment horizontal="left" vertical="center" wrapText="1"/>
    </xf>
    <xf numFmtId="0" fontId="10" fillId="20" borderId="14" xfId="0" applyFont="1" applyFill="1" applyBorder="1" applyAlignment="1">
      <alignment horizontal="left" vertical="center" wrapText="1"/>
    </xf>
    <xf numFmtId="0" fontId="10" fillId="20" borderId="28" xfId="0" applyFont="1" applyFill="1" applyBorder="1" applyAlignment="1">
      <alignment horizontal="left" vertical="center" wrapText="1"/>
    </xf>
    <xf numFmtId="0" fontId="10" fillId="20" borderId="15" xfId="0" applyFont="1" applyFill="1" applyBorder="1" applyAlignment="1">
      <alignment horizontal="left" vertical="center" wrapText="1"/>
    </xf>
    <xf numFmtId="0" fontId="10" fillId="20" borderId="10" xfId="0" applyFont="1" applyFill="1" applyBorder="1" applyAlignment="1">
      <alignment horizontal="left" vertical="center" wrapText="1"/>
    </xf>
    <xf numFmtId="0" fontId="10" fillId="20" borderId="29" xfId="0" applyFont="1" applyFill="1" applyBorder="1" applyAlignment="1">
      <alignment horizontal="left" vertical="center" wrapText="1"/>
    </xf>
    <xf numFmtId="0" fontId="10" fillId="20" borderId="7" xfId="0" applyFont="1" applyFill="1" applyBorder="1" applyAlignment="1">
      <alignment horizontal="left" vertical="center" wrapText="1"/>
    </xf>
    <xf numFmtId="0" fontId="10" fillId="20" borderId="46" xfId="0" applyFont="1" applyFill="1" applyBorder="1" applyAlignment="1">
      <alignment horizontal="left" vertical="center" wrapText="1"/>
    </xf>
    <xf numFmtId="0" fontId="10" fillId="20" borderId="0" xfId="0" applyFont="1" applyFill="1" applyBorder="1" applyAlignment="1">
      <alignment horizontal="left" vertical="center" wrapText="1"/>
    </xf>
    <xf numFmtId="0" fontId="31" fillId="22" borderId="10" xfId="0" applyFont="1" applyFill="1" applyBorder="1" applyAlignment="1">
      <alignment horizontal="center"/>
    </xf>
    <xf numFmtId="0" fontId="31" fillId="22" borderId="29" xfId="0" applyFont="1" applyFill="1" applyBorder="1" applyAlignment="1">
      <alignment horizontal="center"/>
    </xf>
    <xf numFmtId="0" fontId="31" fillId="22" borderId="53" xfId="0" applyFont="1" applyFill="1" applyBorder="1" applyAlignment="1">
      <alignment horizontal="center"/>
    </xf>
    <xf numFmtId="0" fontId="10" fillId="22" borderId="56" xfId="0" applyFont="1" applyFill="1" applyBorder="1" applyAlignment="1">
      <alignment horizontal="center" vertical="center"/>
    </xf>
    <xf numFmtId="0" fontId="10" fillId="22" borderId="46" xfId="0" applyFont="1" applyFill="1" applyBorder="1" applyAlignment="1">
      <alignment horizontal="center" vertical="center"/>
    </xf>
    <xf numFmtId="0" fontId="10" fillId="22" borderId="57" xfId="0" applyFont="1" applyFill="1" applyBorder="1" applyAlignment="1">
      <alignment horizontal="center" vertical="center"/>
    </xf>
    <xf numFmtId="0" fontId="10" fillId="22" borderId="37" xfId="0" applyFont="1" applyFill="1" applyBorder="1" applyAlignment="1">
      <alignment horizontal="center" vertical="center"/>
    </xf>
    <xf numFmtId="0" fontId="10" fillId="22" borderId="45" xfId="0" applyFont="1" applyFill="1" applyBorder="1" applyAlignment="1">
      <alignment horizontal="center" vertical="center"/>
    </xf>
    <xf numFmtId="0" fontId="10" fillId="22" borderId="55" xfId="0" applyFont="1" applyFill="1" applyBorder="1" applyAlignment="1">
      <alignment horizontal="center" vertical="center"/>
    </xf>
    <xf numFmtId="0" fontId="11" fillId="22" borderId="47" xfId="0" applyFont="1" applyFill="1" applyBorder="1" applyAlignment="1">
      <alignment horizontal="center"/>
    </xf>
    <xf numFmtId="0" fontId="11" fillId="22" borderId="4" xfId="0" applyFont="1" applyFill="1" applyBorder="1" applyAlignment="1">
      <alignment horizontal="center"/>
    </xf>
    <xf numFmtId="0" fontId="11" fillId="22" borderId="48" xfId="0" applyFont="1" applyFill="1" applyBorder="1" applyAlignment="1">
      <alignment horizontal="center"/>
    </xf>
    <xf numFmtId="0" fontId="10" fillId="22" borderId="11" xfId="0" applyFont="1" applyFill="1" applyBorder="1" applyAlignment="1">
      <alignment horizontal="center" vertical="center" wrapText="1"/>
    </xf>
    <xf numFmtId="0" fontId="10" fillId="22" borderId="8" xfId="0" applyFont="1" applyFill="1" applyBorder="1" applyAlignment="1">
      <alignment horizontal="center" vertical="center" wrapText="1"/>
    </xf>
    <xf numFmtId="0" fontId="31" fillId="22" borderId="49" xfId="0" applyFont="1" applyFill="1" applyBorder="1" applyAlignment="1">
      <alignment horizontal="center" vertical="center"/>
    </xf>
    <xf numFmtId="0" fontId="31" fillId="22" borderId="1" xfId="0" applyFont="1" applyFill="1" applyBorder="1" applyAlignment="1">
      <alignment horizontal="center"/>
    </xf>
    <xf numFmtId="0" fontId="31" fillId="22" borderId="1" xfId="0" applyFont="1" applyFill="1" applyBorder="1" applyAlignment="1">
      <alignment horizontal="center" vertical="center"/>
    </xf>
    <xf numFmtId="0" fontId="10" fillId="22" borderId="49" xfId="0" applyFont="1" applyFill="1" applyBorder="1" applyAlignment="1">
      <alignment horizontal="center" vertical="center"/>
    </xf>
    <xf numFmtId="0" fontId="10" fillId="22" borderId="1" xfId="0" applyFont="1" applyFill="1" applyBorder="1" applyAlignment="1">
      <alignment horizontal="center" vertical="center" wrapText="1"/>
    </xf>
    <xf numFmtId="0" fontId="31" fillId="22" borderId="7" xfId="0" applyFont="1" applyFill="1" applyBorder="1" applyAlignment="1">
      <alignment horizontal="center"/>
    </xf>
    <xf numFmtId="0" fontId="10" fillId="22" borderId="52" xfId="0" applyFont="1" applyFill="1" applyBorder="1" applyAlignment="1">
      <alignment horizontal="center" vertical="center" wrapText="1"/>
    </xf>
    <xf numFmtId="0" fontId="10" fillId="22" borderId="58" xfId="0" applyFont="1" applyFill="1" applyBorder="1" applyAlignment="1">
      <alignment horizontal="center" vertical="center" wrapText="1"/>
    </xf>
    <xf numFmtId="0" fontId="10" fillId="22" borderId="13" xfId="0" applyFont="1" applyFill="1" applyBorder="1" applyAlignment="1">
      <alignment horizontal="center" vertical="center" wrapText="1"/>
    </xf>
    <xf numFmtId="9" fontId="40" fillId="26" borderId="59" xfId="0" applyNumberFormat="1" applyFont="1" applyFill="1" applyBorder="1" applyAlignment="1">
      <alignment horizontal="center" vertical="center"/>
    </xf>
    <xf numFmtId="9" fontId="40" fillId="26" borderId="60" xfId="0" applyNumberFormat="1" applyFont="1" applyFill="1" applyBorder="1" applyAlignment="1">
      <alignment horizontal="center" vertical="center"/>
    </xf>
    <xf numFmtId="9" fontId="40" fillId="26" borderId="61" xfId="0" applyNumberFormat="1" applyFont="1" applyFill="1" applyBorder="1" applyAlignment="1">
      <alignment horizontal="center" vertical="center"/>
    </xf>
    <xf numFmtId="0" fontId="10" fillId="22" borderId="47" xfId="0" applyFont="1" applyFill="1" applyBorder="1" applyAlignment="1">
      <alignment horizontal="center"/>
    </xf>
    <xf numFmtId="0" fontId="10" fillId="22" borderId="4" xfId="0" applyFont="1" applyFill="1" applyBorder="1" applyAlignment="1">
      <alignment horizontal="center"/>
    </xf>
    <xf numFmtId="0" fontId="10" fillId="22" borderId="48" xfId="0" applyFont="1" applyFill="1" applyBorder="1" applyAlignment="1">
      <alignment horizontal="center"/>
    </xf>
    <xf numFmtId="0" fontId="11" fillId="0" borderId="10" xfId="0" applyFont="1" applyBorder="1" applyAlignment="1">
      <alignment horizontal="center" vertical="center"/>
    </xf>
    <xf numFmtId="0" fontId="11" fillId="0" borderId="7" xfId="0" applyFont="1" applyBorder="1" applyAlignment="1">
      <alignment horizontal="center" vertical="center"/>
    </xf>
    <xf numFmtId="167" fontId="7" fillId="0" borderId="1" xfId="0" applyNumberFormat="1" applyFont="1" applyBorder="1" applyAlignment="1">
      <alignment horizontal="center" vertical="center"/>
    </xf>
    <xf numFmtId="0" fontId="11" fillId="13" borderId="1" xfId="0" applyFont="1" applyFill="1" applyBorder="1" applyAlignment="1">
      <alignment horizontal="center"/>
    </xf>
    <xf numFmtId="44" fontId="7" fillId="0" borderId="11" xfId="0" applyNumberFormat="1" applyFont="1" applyBorder="1" applyAlignment="1">
      <alignment horizontal="center" vertical="center"/>
    </xf>
    <xf numFmtId="0" fontId="7" fillId="0" borderId="8" xfId="0" applyFont="1" applyBorder="1" applyAlignment="1">
      <alignment horizontal="center" vertical="center"/>
    </xf>
    <xf numFmtId="168" fontId="7" fillId="0" borderId="11" xfId="0" applyNumberFormat="1" applyFont="1" applyBorder="1" applyAlignment="1">
      <alignment horizontal="center" vertical="center"/>
    </xf>
    <xf numFmtId="168" fontId="7" fillId="0" borderId="17" xfId="0" applyNumberFormat="1" applyFont="1" applyBorder="1" applyAlignment="1">
      <alignment horizontal="center" vertical="center"/>
    </xf>
    <xf numFmtId="168" fontId="7" fillId="0" borderId="8" xfId="0" applyNumberFormat="1" applyFont="1" applyBorder="1" applyAlignment="1">
      <alignment horizontal="center" vertical="center"/>
    </xf>
    <xf numFmtId="0" fontId="7" fillId="0" borderId="11" xfId="0" applyFont="1" applyBorder="1" applyAlignment="1">
      <alignment horizontal="left" vertical="center" wrapText="1"/>
    </xf>
    <xf numFmtId="0" fontId="7" fillId="0" borderId="17" xfId="0" applyFont="1" applyBorder="1" applyAlignment="1">
      <alignment horizontal="left" vertical="center" wrapText="1"/>
    </xf>
    <xf numFmtId="0" fontId="7" fillId="0" borderId="8" xfId="0" applyFont="1" applyBorder="1" applyAlignment="1">
      <alignment horizontal="left" vertical="center" wrapText="1"/>
    </xf>
    <xf numFmtId="0" fontId="7" fillId="0" borderId="11" xfId="0" applyFont="1" applyBorder="1" applyAlignment="1">
      <alignment horizontal="left" vertical="center"/>
    </xf>
    <xf numFmtId="0" fontId="7" fillId="0" borderId="17" xfId="0" applyFont="1" applyBorder="1" applyAlignment="1">
      <alignment horizontal="left" vertical="center"/>
    </xf>
    <xf numFmtId="0" fontId="7" fillId="0" borderId="8" xfId="0" applyFont="1" applyBorder="1" applyAlignment="1">
      <alignment horizontal="left" vertical="center"/>
    </xf>
    <xf numFmtId="0" fontId="7" fillId="0" borderId="17" xfId="0" applyFont="1" applyBorder="1" applyAlignment="1">
      <alignment horizontal="center" vertical="center"/>
    </xf>
    <xf numFmtId="166" fontId="7" fillId="0" borderId="11" xfId="30" applyNumberFormat="1" applyFont="1" applyBorder="1" applyAlignment="1">
      <alignment horizontal="center" vertical="center"/>
    </xf>
    <xf numFmtId="166" fontId="7" fillId="0" borderId="17" xfId="30" applyNumberFormat="1" applyFont="1" applyBorder="1" applyAlignment="1">
      <alignment horizontal="center" vertical="center"/>
    </xf>
    <xf numFmtId="166" fontId="7" fillId="0" borderId="8" xfId="30" applyNumberFormat="1" applyFont="1" applyBorder="1" applyAlignment="1">
      <alignment horizontal="center" vertical="center"/>
    </xf>
    <xf numFmtId="166" fontId="7" fillId="0" borderId="11" xfId="0" applyNumberFormat="1" applyFont="1" applyBorder="1" applyAlignment="1">
      <alignment horizontal="center" vertical="center"/>
    </xf>
    <xf numFmtId="0" fontId="7" fillId="0" borderId="11" xfId="0" applyFont="1" applyBorder="1" applyAlignment="1">
      <alignment horizontal="center" vertical="center"/>
    </xf>
    <xf numFmtId="0" fontId="6" fillId="0" borderId="1" xfId="0" applyFont="1" applyBorder="1" applyAlignment="1">
      <alignment horizontal="center" vertical="center" wrapText="1"/>
    </xf>
    <xf numFmtId="3" fontId="6" fillId="0" borderId="1" xfId="0" applyNumberFormat="1" applyFont="1" applyBorder="1" applyAlignment="1">
      <alignment horizontal="center" vertical="center"/>
    </xf>
    <xf numFmtId="0" fontId="11" fillId="23" borderId="1" xfId="0" applyFont="1" applyFill="1" applyBorder="1" applyAlignment="1">
      <alignment horizontal="center" vertical="center" wrapText="1"/>
    </xf>
    <xf numFmtId="0" fontId="11" fillId="23" borderId="1" xfId="0" applyFont="1" applyFill="1" applyBorder="1" applyAlignment="1">
      <alignment horizontal="center" vertical="center"/>
    </xf>
    <xf numFmtId="0" fontId="11" fillId="27" borderId="1" xfId="0" applyFont="1" applyFill="1" applyBorder="1" applyAlignment="1">
      <alignment horizontal="left" vertical="center"/>
    </xf>
    <xf numFmtId="0" fontId="6" fillId="0" borderId="1" xfId="0" applyFont="1" applyBorder="1" applyAlignment="1">
      <alignment horizontal="center" vertical="center"/>
    </xf>
    <xf numFmtId="3" fontId="7" fillId="0" borderId="1" xfId="30" applyNumberFormat="1" applyFont="1" applyBorder="1" applyAlignment="1">
      <alignment horizontal="center" vertical="center"/>
    </xf>
    <xf numFmtId="0" fontId="6" fillId="0" borderId="17" xfId="0" applyFont="1" applyBorder="1" applyAlignment="1">
      <alignment horizontal="center" vertical="center" wrapText="1"/>
    </xf>
    <xf numFmtId="0" fontId="6" fillId="0" borderId="1" xfId="0" applyFont="1" applyBorder="1" applyAlignment="1">
      <alignment horizontal="left" vertical="center" wrapText="1"/>
    </xf>
    <xf numFmtId="3" fontId="6" fillId="0" borderId="11" xfId="0" applyNumberFormat="1" applyFont="1" applyBorder="1" applyAlignment="1">
      <alignment horizontal="center" vertical="center"/>
    </xf>
    <xf numFmtId="3" fontId="6" fillId="0" borderId="17" xfId="0" applyNumberFormat="1" applyFont="1" applyBorder="1" applyAlignment="1">
      <alignment horizontal="center" vertical="center"/>
    </xf>
    <xf numFmtId="3" fontId="6" fillId="0" borderId="8" xfId="0" applyNumberFormat="1" applyFont="1" applyBorder="1" applyAlignment="1">
      <alignment horizontal="center" vertical="center"/>
    </xf>
    <xf numFmtId="0" fontId="6" fillId="0" borderId="1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1" xfId="0" applyFont="1" applyBorder="1" applyAlignment="1">
      <alignment horizontal="center" vertical="center"/>
    </xf>
    <xf numFmtId="0" fontId="6" fillId="0" borderId="17" xfId="0" applyFont="1" applyBorder="1" applyAlignment="1">
      <alignment horizontal="center" vertical="center"/>
    </xf>
    <xf numFmtId="0" fontId="6" fillId="0" borderId="8" xfId="0" applyFont="1" applyBorder="1" applyAlignment="1">
      <alignment horizontal="center" vertical="center"/>
    </xf>
    <xf numFmtId="0" fontId="11" fillId="23" borderId="18" xfId="0" applyFont="1" applyFill="1" applyBorder="1" applyAlignment="1">
      <alignment horizontal="center" vertical="center" wrapText="1"/>
    </xf>
    <xf numFmtId="0" fontId="11" fillId="23" borderId="27" xfId="0" applyFont="1" applyFill="1" applyBorder="1" applyAlignment="1">
      <alignment horizontal="center" vertical="center" wrapText="1"/>
    </xf>
    <xf numFmtId="0" fontId="11" fillId="23" borderId="44" xfId="0" applyFont="1" applyFill="1" applyBorder="1" applyAlignment="1">
      <alignment horizontal="center" vertical="center" wrapText="1"/>
    </xf>
    <xf numFmtId="0" fontId="11" fillId="23" borderId="14" xfId="0" applyFont="1" applyFill="1" applyBorder="1" applyAlignment="1">
      <alignment horizontal="center" vertical="center" wrapText="1"/>
    </xf>
    <xf numFmtId="0" fontId="11" fillId="23" borderId="28" xfId="0" applyFont="1" applyFill="1" applyBorder="1" applyAlignment="1">
      <alignment horizontal="center" vertical="center" wrapText="1"/>
    </xf>
    <xf numFmtId="0" fontId="11" fillId="23" borderId="15" xfId="0" applyFont="1" applyFill="1" applyBorder="1" applyAlignment="1">
      <alignment horizontal="center" vertical="center" wrapText="1"/>
    </xf>
    <xf numFmtId="3" fontId="6" fillId="0" borderId="11" xfId="0" applyNumberFormat="1" applyFont="1" applyBorder="1" applyAlignment="1">
      <alignment horizontal="center" vertical="center" wrapText="1"/>
    </xf>
    <xf numFmtId="3" fontId="6" fillId="0" borderId="17" xfId="0" applyNumberFormat="1" applyFont="1" applyBorder="1" applyAlignment="1">
      <alignment horizontal="center" vertical="center" wrapText="1"/>
    </xf>
    <xf numFmtId="3" fontId="6" fillId="0" borderId="8" xfId="0" applyNumberFormat="1" applyFont="1" applyBorder="1" applyAlignment="1">
      <alignment horizontal="center" vertical="center" wrapText="1"/>
    </xf>
    <xf numFmtId="0" fontId="6" fillId="0" borderId="11" xfId="0" applyFont="1" applyBorder="1" applyAlignment="1">
      <alignment horizontal="center" vertical="top" wrapText="1"/>
    </xf>
    <xf numFmtId="0" fontId="6" fillId="0" borderId="17" xfId="0" applyFont="1" applyBorder="1" applyAlignment="1">
      <alignment horizontal="center" vertical="top" wrapText="1"/>
    </xf>
    <xf numFmtId="0" fontId="6" fillId="0" borderId="8" xfId="0" applyFont="1" applyBorder="1" applyAlignment="1">
      <alignment horizontal="center" vertical="top" wrapText="1"/>
    </xf>
    <xf numFmtId="44" fontId="6" fillId="0" borderId="11" xfId="30" applyFont="1" applyBorder="1" applyAlignment="1">
      <alignment horizontal="center" vertical="center" wrapText="1"/>
    </xf>
    <xf numFmtId="44" fontId="6" fillId="0" borderId="17" xfId="30" applyFont="1" applyBorder="1" applyAlignment="1">
      <alignment horizontal="center" vertical="center" wrapText="1"/>
    </xf>
    <xf numFmtId="44" fontId="6" fillId="0" borderId="8" xfId="30" applyFont="1" applyBorder="1" applyAlignment="1">
      <alignment horizontal="center" vertical="center" wrapText="1"/>
    </xf>
    <xf numFmtId="44" fontId="6" fillId="0" borderId="1" xfId="30" applyFont="1" applyBorder="1" applyAlignment="1">
      <alignment horizontal="center" vertical="center"/>
    </xf>
    <xf numFmtId="0" fontId="6" fillId="0" borderId="11" xfId="0" applyFont="1" applyBorder="1" applyAlignment="1">
      <alignment horizontal="left" vertical="center" wrapText="1"/>
    </xf>
    <xf numFmtId="0" fontId="6" fillId="0" borderId="8" xfId="0" applyFont="1" applyBorder="1" applyAlignment="1">
      <alignment horizontal="left" vertical="center" wrapText="1"/>
    </xf>
  </cellXfs>
  <cellStyles count="31">
    <cellStyle name="Millares" xfId="4" builtinId="3"/>
    <cellStyle name="Millares [0]" xfId="5" builtinId="6"/>
    <cellStyle name="Millares [0] 2" xfId="20" xr:uid="{6596F289-B409-401D-A2CD-912812AD5A41}"/>
    <cellStyle name="Millares 2" xfId="9" xr:uid="{843D228D-F50B-44D3-8F64-820E0054FADC}"/>
    <cellStyle name="Millares 2 2" xfId="26" xr:uid="{EE2FB685-89FA-408F-98F6-A10B420872EE}"/>
    <cellStyle name="Millares 2 3" xfId="19" xr:uid="{11C45EC2-13E0-45A7-81E2-F33E06876BB2}"/>
    <cellStyle name="Millares 3" xfId="21" xr:uid="{14D896EB-4E9A-43A1-B3CC-4FE2D3662FDE}"/>
    <cellStyle name="Millares 4" xfId="23" xr:uid="{209B50C4-CBCF-41C3-86E2-017CCD78013B}"/>
    <cellStyle name="Millares 5" xfId="22" xr:uid="{B366FFD7-FA7F-400C-A697-F208908B1766}"/>
    <cellStyle name="Millares 6" xfId="12" xr:uid="{1323DB61-9DBD-481A-B1D5-4E6302058B91}"/>
    <cellStyle name="Millares 7" xfId="28" xr:uid="{2A7F6B58-A723-46CB-9302-C54581F29551}"/>
    <cellStyle name="Moneda" xfId="30" builtinId="4"/>
    <cellStyle name="Moneda [0]" xfId="1" builtinId="7"/>
    <cellStyle name="Moneda [0] 2" xfId="3" xr:uid="{0390D6FF-76F3-437F-BEAC-93638487FEBA}"/>
    <cellStyle name="Moneda [0] 2 2" xfId="18" xr:uid="{B70FC726-C22D-4917-8E88-1D6611373B72}"/>
    <cellStyle name="Moneda [0] 3" xfId="10" xr:uid="{176B30D5-D926-4F06-9666-7F368BCC922E}"/>
    <cellStyle name="Moneda 2" xfId="8" xr:uid="{6804FCB6-AA62-4A3D-9D88-A42ADD88DBC8}"/>
    <cellStyle name="Moneda 3" xfId="11" xr:uid="{B35CB803-EB07-4186-840B-80EEAB94F8A9}"/>
    <cellStyle name="Moneda 4" xfId="13" xr:uid="{39DAACB4-50D1-43DF-BE83-A6ABB0924D8A}"/>
    <cellStyle name="Moneda 5" xfId="14" xr:uid="{2664B6BD-9A60-498B-B7C0-B180778F732E}"/>
    <cellStyle name="Moneda 6" xfId="15" xr:uid="{058F2248-AD5A-41A2-AE29-B4E259230BAE}"/>
    <cellStyle name="Moneda 7" xfId="27" xr:uid="{C21D790C-7F00-42B9-B369-84997BB05D08}"/>
    <cellStyle name="Moneda 8" xfId="29" xr:uid="{FE7D94F4-7794-407E-8DB5-4728702C98CF}"/>
    <cellStyle name="Normal" xfId="0" builtinId="0"/>
    <cellStyle name="Normal 2" xfId="6" xr:uid="{CB6F941A-88CE-424E-B4EF-FB88FD8203E8}"/>
    <cellStyle name="Normal 2 2" xfId="24" xr:uid="{88ECBD35-BD01-4935-AA17-FCC0946A924E}"/>
    <cellStyle name="Normal 2 3" xfId="16" xr:uid="{50A47016-B810-4032-8320-2735FFD572CF}"/>
    <cellStyle name="Porcentaje" xfId="2" builtinId="5"/>
    <cellStyle name="Porcentaje 2" xfId="7" xr:uid="{2C24F177-6050-4395-977A-23B25FFAF6A0}"/>
    <cellStyle name="Porcentaje 2 2" xfId="25" xr:uid="{7D25823E-4425-48E5-A581-8A77428CA6A8}"/>
    <cellStyle name="Porcentaje 2 3" xfId="17" xr:uid="{31BB02AE-47D2-48DF-BC1B-78A752D4A45D}"/>
  </cellStyles>
  <dxfs count="0"/>
  <tableStyles count="0" defaultTableStyle="TableStyleMedium2" defaultPivotStyle="PivotStyleLight16"/>
  <colors>
    <mruColors>
      <color rgb="FFFF9900"/>
      <color rgb="FFFF7C80"/>
      <color rgb="FFFCD5B4"/>
      <color rgb="FFFAD6BE"/>
      <color rgb="FFFFCC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'RESUMEN LINEAS-POAI'!$C$17</c:f>
              <c:strCache>
                <c:ptCount val="1"/>
                <c:pt idx="0">
                  <c:v>PRIMER TRIMESTRE</c:v>
                </c:pt>
              </c:strCache>
            </c:strRef>
          </c:tx>
          <c:spPr>
            <a:solidFill>
              <a:schemeClr val="accent1"/>
            </a:solidFill>
            <a:ln>
              <a:noFill/>
            </a:ln>
            <a:effectLst/>
          </c:spPr>
          <c:invertIfNegative val="0"/>
          <c:cat>
            <c:strRef>
              <c:f>'RESUMEN LINEAS-POAI'!$A$18:$A$26</c:f>
              <c:strCache>
                <c:ptCount val="9"/>
                <c:pt idx="1">
                  <c:v>Linea 1</c:v>
                </c:pt>
                <c:pt idx="2">
                  <c:v>Linea 2</c:v>
                </c:pt>
                <c:pt idx="3">
                  <c:v>Linea 3</c:v>
                </c:pt>
                <c:pt idx="4">
                  <c:v>Linea 4</c:v>
                </c:pt>
                <c:pt idx="5">
                  <c:v>Linea 5</c:v>
                </c:pt>
                <c:pt idx="6">
                  <c:v>Linea 6</c:v>
                </c:pt>
                <c:pt idx="7">
                  <c:v>Linea 7</c:v>
                </c:pt>
                <c:pt idx="8">
                  <c:v>Linea 8</c:v>
                </c:pt>
              </c:strCache>
            </c:strRef>
          </c:cat>
          <c:val>
            <c:numRef>
              <c:f>'RESUMEN LINEAS-POAI'!$C$18:$C$26</c:f>
              <c:numCache>
                <c:formatCode>#,##0</c:formatCode>
                <c:ptCount val="9"/>
                <c:pt idx="1">
                  <c:v>173840008</c:v>
                </c:pt>
                <c:pt idx="2">
                  <c:v>19616792701</c:v>
                </c:pt>
                <c:pt idx="3">
                  <c:v>17905329215</c:v>
                </c:pt>
                <c:pt idx="4">
                  <c:v>1199259976</c:v>
                </c:pt>
                <c:pt idx="5">
                  <c:v>66897654</c:v>
                </c:pt>
                <c:pt idx="6">
                  <c:v>34848791</c:v>
                </c:pt>
                <c:pt idx="7">
                  <c:v>116614327</c:v>
                </c:pt>
                <c:pt idx="8">
                  <c:v>623402330.39999986</c:v>
                </c:pt>
              </c:numCache>
            </c:numRef>
          </c:val>
          <c:extLst>
            <c:ext xmlns:c16="http://schemas.microsoft.com/office/drawing/2014/chart" uri="{C3380CC4-5D6E-409C-BE32-E72D297353CC}">
              <c16:uniqueId val="{00000000-7E16-48CC-B6A5-8209A6A31938}"/>
            </c:ext>
          </c:extLst>
        </c:ser>
        <c:ser>
          <c:idx val="1"/>
          <c:order val="1"/>
          <c:tx>
            <c:strRef>
              <c:f>'RESUMEN LINEAS-POAI'!$D$17</c:f>
              <c:strCache>
                <c:ptCount val="1"/>
                <c:pt idx="0">
                  <c:v>SEGUNDO  TRIMESTRE</c:v>
                </c:pt>
              </c:strCache>
            </c:strRef>
          </c:tx>
          <c:spPr>
            <a:solidFill>
              <a:schemeClr val="accent2"/>
            </a:solidFill>
            <a:ln>
              <a:noFill/>
            </a:ln>
            <a:effectLst/>
          </c:spPr>
          <c:invertIfNegative val="0"/>
          <c:cat>
            <c:strRef>
              <c:f>'RESUMEN LINEAS-POAI'!$A$18:$A$26</c:f>
              <c:strCache>
                <c:ptCount val="9"/>
                <c:pt idx="1">
                  <c:v>Linea 1</c:v>
                </c:pt>
                <c:pt idx="2">
                  <c:v>Linea 2</c:v>
                </c:pt>
                <c:pt idx="3">
                  <c:v>Linea 3</c:v>
                </c:pt>
                <c:pt idx="4">
                  <c:v>Linea 4</c:v>
                </c:pt>
                <c:pt idx="5">
                  <c:v>Linea 5</c:v>
                </c:pt>
                <c:pt idx="6">
                  <c:v>Linea 6</c:v>
                </c:pt>
                <c:pt idx="7">
                  <c:v>Linea 7</c:v>
                </c:pt>
                <c:pt idx="8">
                  <c:v>Linea 8</c:v>
                </c:pt>
              </c:strCache>
            </c:strRef>
          </c:cat>
          <c:val>
            <c:numRef>
              <c:f>'RESUMEN LINEAS-POAI'!$D$18:$D$26</c:f>
              <c:numCache>
                <c:formatCode>#,##0</c:formatCode>
                <c:ptCount val="9"/>
                <c:pt idx="1">
                  <c:v>173840008</c:v>
                </c:pt>
                <c:pt idx="2">
                  <c:v>10766076558</c:v>
                </c:pt>
                <c:pt idx="3">
                  <c:v>8782218462</c:v>
                </c:pt>
                <c:pt idx="4">
                  <c:v>1687108234</c:v>
                </c:pt>
                <c:pt idx="5">
                  <c:v>66897654</c:v>
                </c:pt>
                <c:pt idx="6">
                  <c:v>34848791</c:v>
                </c:pt>
                <c:pt idx="7">
                  <c:v>14923578</c:v>
                </c:pt>
                <c:pt idx="8">
                  <c:v>747455070.99999988</c:v>
                </c:pt>
              </c:numCache>
            </c:numRef>
          </c:val>
          <c:extLst>
            <c:ext xmlns:c16="http://schemas.microsoft.com/office/drawing/2014/chart" uri="{C3380CC4-5D6E-409C-BE32-E72D297353CC}">
              <c16:uniqueId val="{00000001-7E16-48CC-B6A5-8209A6A31938}"/>
            </c:ext>
          </c:extLst>
        </c:ser>
        <c:dLbls>
          <c:showLegendKey val="0"/>
          <c:showVal val="0"/>
          <c:showCatName val="0"/>
          <c:showSerName val="0"/>
          <c:showPercent val="0"/>
          <c:showBubbleSize val="0"/>
        </c:dLbls>
        <c:gapWidth val="219"/>
        <c:overlap val="-27"/>
        <c:axId val="530405728"/>
        <c:axId val="530403760"/>
        <c:extLst>
          <c:ext xmlns:c15="http://schemas.microsoft.com/office/drawing/2012/chart" uri="{02D57815-91ED-43cb-92C2-25804820EDAC}">
            <c15:filteredBarSeries>
              <c15:ser>
                <c:idx val="2"/>
                <c:order val="2"/>
                <c:tx>
                  <c:strRef>
                    <c:extLst>
                      <c:ext uri="{02D57815-91ED-43cb-92C2-25804820EDAC}">
                        <c15:formulaRef>
                          <c15:sqref>'RESUMEN LINEAS-POAI'!$E$17</c15:sqref>
                        </c15:formulaRef>
                      </c:ext>
                    </c:extLst>
                    <c:strCache>
                      <c:ptCount val="1"/>
                      <c:pt idx="0">
                        <c:v>TERCER TRIMESTRE</c:v>
                      </c:pt>
                    </c:strCache>
                  </c:strRef>
                </c:tx>
                <c:spPr>
                  <a:solidFill>
                    <a:schemeClr val="accent3"/>
                  </a:solidFill>
                  <a:ln>
                    <a:noFill/>
                  </a:ln>
                  <a:effectLst/>
                </c:spPr>
                <c:invertIfNegative val="0"/>
                <c:cat>
                  <c:strRef>
                    <c:extLst>
                      <c:ext uri="{02D57815-91ED-43cb-92C2-25804820EDAC}">
                        <c15:formulaRef>
                          <c15:sqref>'RESUMEN LINEAS-POAI'!$A$18:$A$26</c15:sqref>
                        </c15:formulaRef>
                      </c:ext>
                    </c:extLst>
                    <c:strCache>
                      <c:ptCount val="9"/>
                      <c:pt idx="1">
                        <c:v>Linea 1</c:v>
                      </c:pt>
                      <c:pt idx="2">
                        <c:v>Linea 2</c:v>
                      </c:pt>
                      <c:pt idx="3">
                        <c:v>Linea 3</c:v>
                      </c:pt>
                      <c:pt idx="4">
                        <c:v>Linea 4</c:v>
                      </c:pt>
                      <c:pt idx="5">
                        <c:v>Linea 5</c:v>
                      </c:pt>
                      <c:pt idx="6">
                        <c:v>Linea 6</c:v>
                      </c:pt>
                      <c:pt idx="7">
                        <c:v>Linea 7</c:v>
                      </c:pt>
                      <c:pt idx="8">
                        <c:v>Linea 8</c:v>
                      </c:pt>
                    </c:strCache>
                  </c:strRef>
                </c:cat>
                <c:val>
                  <c:numRef>
                    <c:extLst>
                      <c:ext uri="{02D57815-91ED-43cb-92C2-25804820EDAC}">
                        <c15:formulaRef>
                          <c15:sqref>'RESUMEN LINEAS-POAI'!$E$18:$E$26</c15:sqref>
                        </c15:formulaRef>
                      </c:ext>
                    </c:extLst>
                    <c:numCache>
                      <c:formatCode>General</c:formatCode>
                      <c:ptCount val="9"/>
                      <c:pt idx="1">
                        <c:v>0</c:v>
                      </c:pt>
                      <c:pt idx="2">
                        <c:v>0</c:v>
                      </c:pt>
                      <c:pt idx="3">
                        <c:v>0</c:v>
                      </c:pt>
                      <c:pt idx="4">
                        <c:v>0</c:v>
                      </c:pt>
                      <c:pt idx="5">
                        <c:v>0</c:v>
                      </c:pt>
                      <c:pt idx="6">
                        <c:v>34848791</c:v>
                      </c:pt>
                      <c:pt idx="7">
                        <c:v>0</c:v>
                      </c:pt>
                      <c:pt idx="8">
                        <c:v>0</c:v>
                      </c:pt>
                    </c:numCache>
                  </c:numRef>
                </c:val>
                <c:extLst>
                  <c:ext xmlns:c16="http://schemas.microsoft.com/office/drawing/2014/chart" uri="{C3380CC4-5D6E-409C-BE32-E72D297353CC}">
                    <c16:uniqueId val="{00000002-7E16-48CC-B6A5-8209A6A31938}"/>
                  </c:ext>
                </c:extLst>
              </c15:ser>
            </c15:filteredBarSeries>
          </c:ext>
        </c:extLst>
      </c:barChart>
      <c:catAx>
        <c:axId val="530405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0403760"/>
        <c:crosses val="autoZero"/>
        <c:auto val="1"/>
        <c:lblAlgn val="ctr"/>
        <c:lblOffset val="100"/>
        <c:noMultiLvlLbl val="0"/>
      </c:catAx>
      <c:valAx>
        <c:axId val="530403760"/>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530405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POAI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'COSOLIDADO POAI'!$D$3</c:f>
              <c:strCache>
                <c:ptCount val="1"/>
                <c:pt idx="0">
                  <c:v>TOTAL LINEA</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8-F269-494C-8990-B4B8C0026D66}"/>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7E0F-4F2B-8E54-143A6FAE0CF6}"/>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7E0F-4F2B-8E54-143A6FAE0CF6}"/>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7E0F-4F2B-8E54-143A6FAE0CF6}"/>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7E0F-4F2B-8E54-143A6FAE0CF6}"/>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7E0F-4F2B-8E54-143A6FAE0CF6}"/>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7E0F-4F2B-8E54-143A6FAE0CF6}"/>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3-F269-494C-8990-B4B8C0026D66}"/>
              </c:ext>
            </c:extLst>
          </c:dPt>
          <c:dPt>
            <c:idx val="8"/>
            <c:bubble3D val="0"/>
            <c:spPr>
              <a:solidFill>
                <a:schemeClr val="accent3">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1-7E0F-4F2B-8E54-143A6FAE0CF6}"/>
              </c:ext>
            </c:extLst>
          </c:dPt>
          <c:dPt>
            <c:idx val="9"/>
            <c:bubble3D val="0"/>
            <c:spPr>
              <a:solidFill>
                <a:schemeClr val="accent4">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3-7E0F-4F2B-8E54-143A6FAE0CF6}"/>
              </c:ext>
            </c:extLst>
          </c:dPt>
          <c:dPt>
            <c:idx val="10"/>
            <c:bubble3D val="0"/>
            <c:spPr>
              <a:solidFill>
                <a:schemeClr val="accent5">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5-7E0F-4F2B-8E54-143A6FAE0CF6}"/>
              </c:ext>
            </c:extLst>
          </c:dPt>
          <c:dPt>
            <c:idx val="11"/>
            <c:bubble3D val="0"/>
            <c:spPr>
              <a:solidFill>
                <a:schemeClr val="accent6">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4-F269-494C-8990-B4B8C0026D66}"/>
              </c:ext>
            </c:extLst>
          </c:dPt>
          <c:dPt>
            <c:idx val="12"/>
            <c:bubble3D val="0"/>
            <c:spPr>
              <a:solidFill>
                <a:schemeClr val="accent1">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9-7E0F-4F2B-8E54-143A6FAE0CF6}"/>
              </c:ext>
            </c:extLst>
          </c:dPt>
          <c:dPt>
            <c:idx val="13"/>
            <c:bubble3D val="0"/>
            <c:spPr>
              <a:solidFill>
                <a:schemeClr val="accent2">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5-F269-494C-8990-B4B8C0026D66}"/>
              </c:ext>
            </c:extLst>
          </c:dPt>
          <c:dPt>
            <c:idx val="14"/>
            <c:bubble3D val="0"/>
            <c:spPr>
              <a:solidFill>
                <a:schemeClr val="accent3">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D-7E0F-4F2B-8E54-143A6FAE0CF6}"/>
              </c:ext>
            </c:extLst>
          </c:dPt>
          <c:dPt>
            <c:idx val="15"/>
            <c:bubble3D val="0"/>
            <c:spPr>
              <a:solidFill>
                <a:schemeClr val="accent4">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6-F269-494C-8990-B4B8C0026D66}"/>
              </c:ext>
            </c:extLst>
          </c:dPt>
          <c:dPt>
            <c:idx val="16"/>
            <c:bubble3D val="0"/>
            <c:spPr>
              <a:solidFill>
                <a:schemeClr val="accent5">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7-F269-494C-8990-B4B8C0026D66}"/>
              </c:ext>
            </c:extLst>
          </c:dPt>
          <c:dPt>
            <c:idx val="17"/>
            <c:bubble3D val="0"/>
            <c:spPr>
              <a:solidFill>
                <a:schemeClr val="accent6">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3-7E0F-4F2B-8E54-143A6FAE0CF6}"/>
              </c:ext>
            </c:extLst>
          </c:dPt>
          <c:dPt>
            <c:idx val="18"/>
            <c:bubble3D val="0"/>
            <c:spPr>
              <a:solidFill>
                <a:schemeClr val="accent1">
                  <a:lumMod val="8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5-7E0F-4F2B-8E54-143A6FAE0CF6}"/>
              </c:ext>
            </c:extLst>
          </c:dPt>
          <c:dLbls>
            <c:dLbl>
              <c:idx val="0"/>
              <c:layout>
                <c:manualLayout>
                  <c:x val="0.1486432161106814"/>
                  <c:y val="6.384222111174045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269-494C-8990-B4B8C0026D66}"/>
                </c:ext>
              </c:extLst>
            </c:dLbl>
            <c:dLbl>
              <c:idx val="7"/>
              <c:layout>
                <c:manualLayout>
                  <c:x val="-0.17443187147640604"/>
                  <c:y val="-3.0772727133130434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269-494C-8990-B4B8C0026D66}"/>
                </c:ext>
              </c:extLst>
            </c:dLbl>
            <c:dLbl>
              <c:idx val="11"/>
              <c:layout>
                <c:manualLayout>
                  <c:x val="-0.10886287124964274"/>
                  <c:y val="-8.485577313296108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269-494C-8990-B4B8C0026D66}"/>
                </c:ext>
              </c:extLst>
            </c:dLbl>
            <c:dLbl>
              <c:idx val="13"/>
              <c:layout>
                <c:manualLayout>
                  <c:x val="-0.10585971323375962"/>
                  <c:y val="-2.8398523926957988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15:layout>
                    <c:manualLayout>
                      <c:w val="9.6931785611635346E-2"/>
                      <c:h val="4.3182287825468534E-2"/>
                    </c:manualLayout>
                  </c15:layout>
                </c:ext>
                <c:ext xmlns:c16="http://schemas.microsoft.com/office/drawing/2014/chart" uri="{C3380CC4-5D6E-409C-BE32-E72D297353CC}">
                  <c16:uniqueId val="{00000005-F269-494C-8990-B4B8C0026D66}"/>
                </c:ext>
              </c:extLst>
            </c:dLbl>
            <c:dLbl>
              <c:idx val="15"/>
              <c:layout>
                <c:manualLayout>
                  <c:x val="0.16507547362706249"/>
                  <c:y val="-0.102267985965811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269-494C-8990-B4B8C0026D66}"/>
                </c:ext>
              </c:extLst>
            </c:dLbl>
            <c:dLbl>
              <c:idx val="16"/>
              <c:layout>
                <c:manualLayout>
                  <c:x val="0.20397527777504393"/>
                  <c:y val="-5.9085698140342764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269-494C-8990-B4B8C0026D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('COSOLIDADO POAI'!$A$4:$A$6,'COSOLIDADO POAI'!$A$7:$A$8,'COSOLIDADO POAI'!$A$9:$A$10,'COSOLIDADO POAI'!$A$11:$A$14,'COSOLIDADO POAI'!$A$15:$A$16,'COSOLIDADO POAI'!$A$17:$A$18,'COSOLIDADO POAI'!$A$19,'COSOLIDADO POAI'!$A$20:$A$22)</c:f>
              <c:strCache>
                <c:ptCount val="17"/>
                <c:pt idx="0">
                  <c:v>Línea 1: Dirección estratégica para una gestión con responsabilidad</c:v>
                </c:pt>
                <c:pt idx="3">
                  <c:v>Línea 2: Gestión financiera y administrativa para el desarrollo sostenible</c:v>
                </c:pt>
                <c:pt idx="5">
                  <c:v>Línea 3: Gestión asistencial humanizada y equitativa</c:v>
                </c:pt>
                <c:pt idx="7">
                  <c:v>Línea 4: Enfoque de servicios por la vida</c:v>
                </c:pt>
                <c:pt idx="11">
                  <c:v>	Línea 5: Compañía, amor y humanización al servicio de todos</c:v>
                </c:pt>
                <c:pt idx="13">
                  <c:v>Línea 6: Innovación, ciencia e investigación para la vida</c:v>
                </c:pt>
                <c:pt idx="15">
                  <c:v>línea 7: medio ambiente sano y seguro, dejando huella para la vida</c:v>
                </c:pt>
                <c:pt idx="16">
                  <c:v>Línea 8: Gestión integral del talento humano que trabaja con amor por la vida</c:v>
                </c:pt>
              </c:strCache>
            </c:strRef>
          </c:cat>
          <c:val>
            <c:numRef>
              <c:f>('COSOLIDADO POAI'!$D$4:$D$6,'COSOLIDADO POAI'!$D$7:$D$8,'COSOLIDADO POAI'!$D$9:$D$10,'COSOLIDADO POAI'!$D$11:$D$14,'COSOLIDADO POAI'!$D$15:$D$16,'COSOLIDADO POAI'!$D$17:$D$18,'COSOLIDADO POAI'!$D$19,'COSOLIDADO POAI'!$D$20:$D$22)</c:f>
              <c:numCache>
                <c:formatCode>_-"$"\ * #,##0_-;\-"$"\ * #,##0_-;_-"$"\ * "-"?_-;_-@_-</c:formatCode>
                <c:ptCount val="19"/>
                <c:pt idx="0">
                  <c:v>876375074</c:v>
                </c:pt>
                <c:pt idx="3" formatCode="_(&quot;$&quot;* #,##0.00_);_(&quot;$&quot;* \(#,##0.00\);_(&quot;$&quot;* &quot;-&quot;??_);_(@_)">
                  <c:v>59599968609</c:v>
                </c:pt>
                <c:pt idx="5" formatCode="_(&quot;$&quot;* #,##0.00_);_(&quot;$&quot;* \(#,##0.00\);_(&quot;$&quot;* &quot;-&quot;??_);_(@_)">
                  <c:v>86291752748</c:v>
                </c:pt>
                <c:pt idx="7" formatCode="_(&quot;$&quot;* #,##0.00_);_(&quot;$&quot;* \(#,##0.00\);_(&quot;$&quot;* &quot;-&quot;??_);_(@_)">
                  <c:v>4099902821</c:v>
                </c:pt>
                <c:pt idx="11" formatCode="_(&quot;$&quot;* #,##0.00_);_(&quot;$&quot;* \(#,##0.00\);_(&quot;$&quot;* &quot;-&quot;??_);_(@_)">
                  <c:v>425717734</c:v>
                </c:pt>
                <c:pt idx="13" formatCode="_(&quot;$&quot;* #,##0.00_);_(&quot;$&quot;* \(#,##0.00\);_(&quot;$&quot;* &quot;-&quot;??_);_(@_)">
                  <c:v>252052566</c:v>
                </c:pt>
                <c:pt idx="15" formatCode="_(&quot;$&quot;* #,##0.00_);_(&quot;$&quot;* \(#,##0.00\);_(&quot;$&quot;* &quot;-&quot;??_);_(@_)">
                  <c:v>392400000</c:v>
                </c:pt>
                <c:pt idx="16" formatCode="_-&quot;$&quot;\ * #,##0_-;\-&quot;$&quot;\ * #,##0_-;_-&quot;$&quot;\ * &quot;-&quot;??_-;_-@_-">
                  <c:v>2272664045</c:v>
                </c:pt>
              </c:numCache>
            </c:numRef>
          </c:val>
          <c:extLst>
            <c:ext xmlns:c16="http://schemas.microsoft.com/office/drawing/2014/chart" uri="{C3380CC4-5D6E-409C-BE32-E72D297353CC}">
              <c16:uniqueId val="{00000000-F269-494C-8990-B4B8C0026D66}"/>
            </c:ext>
          </c:extLst>
        </c:ser>
        <c:ser>
          <c:idx val="1"/>
          <c:order val="1"/>
          <c:tx>
            <c:strRef>
              <c:f>'COSOLIDADO POAI'!$F$3</c:f>
              <c:strCache>
                <c:ptCount val="1"/>
                <c:pt idx="0">
                  <c:v>% LINEA SOBRE TOTAL PRESUPUESTO </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27-7E0F-4F2B-8E54-143A6FAE0CF6}"/>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29-7E0F-4F2B-8E54-143A6FAE0CF6}"/>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2B-7E0F-4F2B-8E54-143A6FAE0CF6}"/>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2D-7E0F-4F2B-8E54-143A6FAE0CF6}"/>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2F-7E0F-4F2B-8E54-143A6FAE0CF6}"/>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31-7E0F-4F2B-8E54-143A6FAE0CF6}"/>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33-7E0F-4F2B-8E54-143A6FAE0CF6}"/>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35-7E0F-4F2B-8E54-143A6FAE0CF6}"/>
              </c:ext>
            </c:extLst>
          </c:dPt>
          <c:dPt>
            <c:idx val="8"/>
            <c:bubble3D val="0"/>
            <c:spPr>
              <a:solidFill>
                <a:schemeClr val="accent3">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37-7E0F-4F2B-8E54-143A6FAE0CF6}"/>
              </c:ext>
            </c:extLst>
          </c:dPt>
          <c:dPt>
            <c:idx val="9"/>
            <c:bubble3D val="0"/>
            <c:spPr>
              <a:solidFill>
                <a:schemeClr val="accent4">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39-7E0F-4F2B-8E54-143A6FAE0CF6}"/>
              </c:ext>
            </c:extLst>
          </c:dPt>
          <c:dPt>
            <c:idx val="10"/>
            <c:bubble3D val="0"/>
            <c:spPr>
              <a:solidFill>
                <a:schemeClr val="accent5">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3B-7E0F-4F2B-8E54-143A6FAE0CF6}"/>
              </c:ext>
            </c:extLst>
          </c:dPt>
          <c:dPt>
            <c:idx val="11"/>
            <c:bubble3D val="0"/>
            <c:spPr>
              <a:solidFill>
                <a:schemeClr val="accent6">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3D-7E0F-4F2B-8E54-143A6FAE0CF6}"/>
              </c:ext>
            </c:extLst>
          </c:dPt>
          <c:dPt>
            <c:idx val="12"/>
            <c:bubble3D val="0"/>
            <c:spPr>
              <a:solidFill>
                <a:schemeClr val="accent1">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3F-7E0F-4F2B-8E54-143A6FAE0CF6}"/>
              </c:ext>
            </c:extLst>
          </c:dPt>
          <c:dPt>
            <c:idx val="13"/>
            <c:bubble3D val="0"/>
            <c:spPr>
              <a:solidFill>
                <a:schemeClr val="accent2">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41-7E0F-4F2B-8E54-143A6FAE0CF6}"/>
              </c:ext>
            </c:extLst>
          </c:dPt>
          <c:dPt>
            <c:idx val="14"/>
            <c:bubble3D val="0"/>
            <c:spPr>
              <a:solidFill>
                <a:schemeClr val="accent3">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43-7E0F-4F2B-8E54-143A6FAE0CF6}"/>
              </c:ext>
            </c:extLst>
          </c:dPt>
          <c:dPt>
            <c:idx val="15"/>
            <c:bubble3D val="0"/>
            <c:spPr>
              <a:solidFill>
                <a:schemeClr val="accent4">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45-7E0F-4F2B-8E54-143A6FAE0CF6}"/>
              </c:ext>
            </c:extLst>
          </c:dPt>
          <c:dPt>
            <c:idx val="16"/>
            <c:bubble3D val="0"/>
            <c:spPr>
              <a:solidFill>
                <a:schemeClr val="accent5">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47-7E0F-4F2B-8E54-143A6FAE0CF6}"/>
              </c:ext>
            </c:extLst>
          </c:dPt>
          <c:dPt>
            <c:idx val="17"/>
            <c:bubble3D val="0"/>
            <c:spPr>
              <a:solidFill>
                <a:schemeClr val="accent6">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49-7E0F-4F2B-8E54-143A6FAE0CF6}"/>
              </c:ext>
            </c:extLst>
          </c:dPt>
          <c:dPt>
            <c:idx val="18"/>
            <c:bubble3D val="0"/>
            <c:spPr>
              <a:solidFill>
                <a:schemeClr val="accent1">
                  <a:lumMod val="8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4B-7E0F-4F2B-8E54-143A6FAE0CF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('COSOLIDADO POAI'!$A$4:$A$6,'COSOLIDADO POAI'!$A$7:$A$8,'COSOLIDADO POAI'!$A$9:$A$10,'COSOLIDADO POAI'!$A$11:$A$14,'COSOLIDADO POAI'!$A$15:$A$16,'COSOLIDADO POAI'!$A$17:$A$18,'COSOLIDADO POAI'!$A$19,'COSOLIDADO POAI'!$A$20:$A$22)</c:f>
              <c:strCache>
                <c:ptCount val="17"/>
                <c:pt idx="0">
                  <c:v>Línea 1: Dirección estratégica para una gestión con responsabilidad</c:v>
                </c:pt>
                <c:pt idx="3">
                  <c:v>Línea 2: Gestión financiera y administrativa para el desarrollo sostenible</c:v>
                </c:pt>
                <c:pt idx="5">
                  <c:v>Línea 3: Gestión asistencial humanizada y equitativa</c:v>
                </c:pt>
                <c:pt idx="7">
                  <c:v>Línea 4: Enfoque de servicios por la vida</c:v>
                </c:pt>
                <c:pt idx="11">
                  <c:v>	Línea 5: Compañía, amor y humanización al servicio de todos</c:v>
                </c:pt>
                <c:pt idx="13">
                  <c:v>Línea 6: Innovación, ciencia e investigación para la vida</c:v>
                </c:pt>
                <c:pt idx="15">
                  <c:v>línea 7: medio ambiente sano y seguro, dejando huella para la vida</c:v>
                </c:pt>
                <c:pt idx="16">
                  <c:v>Línea 8: Gestión integral del talento humano que trabaja con amor por la vida</c:v>
                </c:pt>
              </c:strCache>
            </c:strRef>
          </c:cat>
          <c:val>
            <c:numRef>
              <c:f>('COSOLIDADO POAI'!$F$4:$F$6,'COSOLIDADO POAI'!$F$7:$F$8,'COSOLIDADO POAI'!$F$9:$F$10,'COSOLIDADO POAI'!$F$11:$F$14,'COSOLIDADO POAI'!$F$15:$F$16,'COSOLIDADO POAI'!$F$17:$F$18,'COSOLIDADO POAI'!$F$19,'COSOLIDADO POAI'!$F$20:$F$22)</c:f>
              <c:numCache>
                <c:formatCode>0.0</c:formatCode>
                <c:ptCount val="19"/>
                <c:pt idx="0">
                  <c:v>0.56829669716346631</c:v>
                </c:pt>
                <c:pt idx="3">
                  <c:v>38.648366796818515</c:v>
                </c:pt>
                <c:pt idx="5">
                  <c:v>55.956997790120703</c:v>
                </c:pt>
                <c:pt idx="7">
                  <c:v>2.6586347569550774</c:v>
                </c:pt>
                <c:pt idx="11">
                  <c:v>0.2760621443189461</c:v>
                </c:pt>
                <c:pt idx="13">
                  <c:v>0.16344673076516164</c:v>
                </c:pt>
                <c:pt idx="15">
                  <c:v>0.25445683085110676</c:v>
                </c:pt>
                <c:pt idx="16">
                  <c:v>1.4737382530070262</c:v>
                </c:pt>
              </c:numCache>
            </c:numRef>
          </c:val>
          <c:extLst>
            <c:ext xmlns:c16="http://schemas.microsoft.com/office/drawing/2014/chart" uri="{C3380CC4-5D6E-409C-BE32-E72D297353CC}">
              <c16:uniqueId val="{00000001-F269-494C-8990-B4B8C0026D66}"/>
            </c:ext>
          </c:extLst>
        </c:ser>
        <c:dLbls>
          <c:dLblPos val="bestFit"/>
          <c:showLegendKey val="0"/>
          <c:showVal val="1"/>
          <c:showCatName val="0"/>
          <c:showSerName val="0"/>
          <c:showPercent val="0"/>
          <c:showBubbleSize val="0"/>
          <c:showLeaderLines val="1"/>
        </c:dLbls>
      </c:pie3DChart>
      <c:spPr>
        <a:noFill/>
        <a:ln>
          <a:noFill/>
        </a:ln>
        <a:effectLst/>
      </c:spPr>
    </c:plotArea>
    <c:legend>
      <c:legendPos val="b"/>
      <c:legendEntry>
        <c:idx val="1"/>
        <c:delete val="1"/>
      </c:legendEntry>
      <c:legendEntry>
        <c:idx val="2"/>
        <c:delete val="1"/>
      </c:legendEntry>
      <c:legendEntry>
        <c:idx val="4"/>
        <c:delete val="1"/>
      </c:legendEntry>
      <c:legendEntry>
        <c:idx val="6"/>
        <c:delete val="1"/>
      </c:legendEntry>
      <c:legendEntry>
        <c:idx val="8"/>
        <c:delete val="1"/>
      </c:legendEntry>
      <c:legendEntry>
        <c:idx val="9"/>
        <c:delete val="1"/>
      </c:legendEntry>
      <c:legendEntry>
        <c:idx val="10"/>
        <c:delete val="1"/>
      </c:legendEntry>
      <c:legendEntry>
        <c:idx val="12"/>
        <c:delete val="1"/>
      </c:legendEntry>
      <c:legendEntry>
        <c:idx val="14"/>
        <c:delete val="1"/>
      </c:legendEntry>
      <c:legendEntry>
        <c:idx val="17"/>
        <c:delete val="1"/>
      </c:legendEntry>
      <c:legendEntry>
        <c:idx val="18"/>
        <c:delete val="1"/>
      </c:legendEntry>
      <c:layout>
        <c:manualLayout>
          <c:xMode val="edge"/>
          <c:yMode val="edge"/>
          <c:x val="0.16953727592561571"/>
          <c:y val="0.72114032869009237"/>
          <c:w val="0.83046272407438448"/>
          <c:h val="0.2788596713099077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POAI 2022</a:t>
            </a:r>
          </a:p>
        </c:rich>
      </c:tx>
      <c:layout>
        <c:manualLayout>
          <c:xMode val="edge"/>
          <c:yMode val="edge"/>
          <c:x val="0.4629536013880618"/>
          <c:y val="1.83276037523964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'COSOLIDADO POAI'!$F$3</c:f>
              <c:strCache>
                <c:ptCount val="1"/>
                <c:pt idx="0">
                  <c:v>% LINEA SOBRE TOTAL PRESUPUESTO </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97C4-4F7B-AD5F-5EC48CEAC39D}"/>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97C4-4F7B-AD5F-5EC48CEAC39D}"/>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97C4-4F7B-AD5F-5EC48CEAC39D}"/>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97C4-4F7B-AD5F-5EC48CEAC39D}"/>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97C4-4F7B-AD5F-5EC48CEAC39D}"/>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97C4-4F7B-AD5F-5EC48CEAC39D}"/>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97C4-4F7B-AD5F-5EC48CEAC39D}"/>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97C4-4F7B-AD5F-5EC48CEAC39D}"/>
              </c:ext>
            </c:extLst>
          </c:dPt>
          <c:dPt>
            <c:idx val="8"/>
            <c:bubble3D val="0"/>
            <c:spPr>
              <a:solidFill>
                <a:schemeClr val="accent3">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1-97C4-4F7B-AD5F-5EC48CEAC39D}"/>
              </c:ext>
            </c:extLst>
          </c:dPt>
          <c:dPt>
            <c:idx val="9"/>
            <c:bubble3D val="0"/>
            <c:spPr>
              <a:solidFill>
                <a:schemeClr val="accent4">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3-97C4-4F7B-AD5F-5EC48CEAC39D}"/>
              </c:ext>
            </c:extLst>
          </c:dPt>
          <c:dPt>
            <c:idx val="10"/>
            <c:bubble3D val="0"/>
            <c:spPr>
              <a:solidFill>
                <a:schemeClr val="accent5">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5-97C4-4F7B-AD5F-5EC48CEAC39D}"/>
              </c:ext>
            </c:extLst>
          </c:dPt>
          <c:dPt>
            <c:idx val="11"/>
            <c:bubble3D val="0"/>
            <c:spPr>
              <a:solidFill>
                <a:schemeClr val="accent6">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7-97C4-4F7B-AD5F-5EC48CEAC39D}"/>
              </c:ext>
            </c:extLst>
          </c:dPt>
          <c:dPt>
            <c:idx val="12"/>
            <c:bubble3D val="0"/>
            <c:spPr>
              <a:solidFill>
                <a:schemeClr val="accent1">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9-97C4-4F7B-AD5F-5EC48CEAC39D}"/>
              </c:ext>
            </c:extLst>
          </c:dPt>
          <c:dPt>
            <c:idx val="13"/>
            <c:bubble3D val="0"/>
            <c:spPr>
              <a:solidFill>
                <a:schemeClr val="accent2">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B-97C4-4F7B-AD5F-5EC48CEAC39D}"/>
              </c:ext>
            </c:extLst>
          </c:dPt>
          <c:dPt>
            <c:idx val="14"/>
            <c:bubble3D val="0"/>
            <c:spPr>
              <a:solidFill>
                <a:schemeClr val="accent3">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D-97C4-4F7B-AD5F-5EC48CEAC39D}"/>
              </c:ext>
            </c:extLst>
          </c:dPt>
          <c:dPt>
            <c:idx val="15"/>
            <c:bubble3D val="0"/>
            <c:spPr>
              <a:solidFill>
                <a:schemeClr val="accent4">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F-97C4-4F7B-AD5F-5EC48CEAC39D}"/>
              </c:ext>
            </c:extLst>
          </c:dPt>
          <c:dPt>
            <c:idx val="16"/>
            <c:bubble3D val="0"/>
            <c:spPr>
              <a:solidFill>
                <a:schemeClr val="accent5">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1-97C4-4F7B-AD5F-5EC48CEAC39D}"/>
              </c:ext>
            </c:extLst>
          </c:dPt>
          <c:dPt>
            <c:idx val="17"/>
            <c:bubble3D val="0"/>
            <c:spPr>
              <a:solidFill>
                <a:schemeClr val="accent6">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3-97C4-4F7B-AD5F-5EC48CEAC39D}"/>
              </c:ext>
            </c:extLst>
          </c:dPt>
          <c:dPt>
            <c:idx val="18"/>
            <c:bubble3D val="0"/>
            <c:spPr>
              <a:solidFill>
                <a:schemeClr val="accent1">
                  <a:lumMod val="8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5-97C4-4F7B-AD5F-5EC48CEAC39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('COSOLIDADO POAI'!$A$4:$A$6,'COSOLIDADO POAI'!$A$7:$A$8,'COSOLIDADO POAI'!$A$9:$A$10,'COSOLIDADO POAI'!$A$11:$A$14,'COSOLIDADO POAI'!$A$15:$A$16,'COSOLIDADO POAI'!$A$17:$A$18,'COSOLIDADO POAI'!$A$19,'COSOLIDADO POAI'!$A$20:$A$22)</c:f>
              <c:strCache>
                <c:ptCount val="17"/>
                <c:pt idx="0">
                  <c:v>Línea 1: Dirección estratégica para una gestión con responsabilidad</c:v>
                </c:pt>
                <c:pt idx="3">
                  <c:v>Línea 2: Gestión financiera y administrativa para el desarrollo sostenible</c:v>
                </c:pt>
                <c:pt idx="5">
                  <c:v>Línea 3: Gestión asistencial humanizada y equitativa</c:v>
                </c:pt>
                <c:pt idx="7">
                  <c:v>Línea 4: Enfoque de servicios por la vida</c:v>
                </c:pt>
                <c:pt idx="11">
                  <c:v>	Línea 5: Compañía, amor y humanización al servicio de todos</c:v>
                </c:pt>
                <c:pt idx="13">
                  <c:v>Línea 6: Innovación, ciencia e investigación para la vida</c:v>
                </c:pt>
                <c:pt idx="15">
                  <c:v>línea 7: medio ambiente sano y seguro, dejando huella para la vida</c:v>
                </c:pt>
                <c:pt idx="16">
                  <c:v>Línea 8: Gestión integral del talento humano que trabaja con amor por la vida</c:v>
                </c:pt>
              </c:strCache>
            </c:strRef>
          </c:cat>
          <c:val>
            <c:numRef>
              <c:f>('COSOLIDADO POAI'!$F$4:$F$6,'COSOLIDADO POAI'!$F$7:$F$8,'COSOLIDADO POAI'!$F$9:$F$10,'COSOLIDADO POAI'!$F$11:$F$14,'COSOLIDADO POAI'!$F$15:$F$16,'COSOLIDADO POAI'!$F$17:$F$18,'COSOLIDADO POAI'!$F$19,'COSOLIDADO POAI'!$F$20:$F$22)</c:f>
              <c:numCache>
                <c:formatCode>0.0</c:formatCode>
                <c:ptCount val="19"/>
                <c:pt idx="0">
                  <c:v>0.56829669716346631</c:v>
                </c:pt>
                <c:pt idx="3">
                  <c:v>38.648366796818515</c:v>
                </c:pt>
                <c:pt idx="5">
                  <c:v>55.956997790120703</c:v>
                </c:pt>
                <c:pt idx="7">
                  <c:v>2.6586347569550774</c:v>
                </c:pt>
                <c:pt idx="11">
                  <c:v>0.2760621443189461</c:v>
                </c:pt>
                <c:pt idx="13">
                  <c:v>0.16344673076516164</c:v>
                </c:pt>
                <c:pt idx="15">
                  <c:v>0.25445683085110676</c:v>
                </c:pt>
                <c:pt idx="16">
                  <c:v>1.4737382530070262</c:v>
                </c:pt>
              </c:numCache>
            </c:numRef>
          </c:val>
          <c:extLst>
            <c:ext xmlns:c16="http://schemas.microsoft.com/office/drawing/2014/chart" uri="{C3380CC4-5D6E-409C-BE32-E72D297353CC}">
              <c16:uniqueId val="{00000026-97C4-4F7B-AD5F-5EC48CEAC39D}"/>
            </c:ext>
          </c:extLst>
        </c:ser>
        <c:dLbls>
          <c:dLblPos val="bestFit"/>
          <c:showLegendKey val="0"/>
          <c:showVal val="1"/>
          <c:showCatName val="0"/>
          <c:showSerName val="0"/>
          <c:showPercent val="0"/>
          <c:showBubbleSize val="0"/>
          <c:showLeaderLines val="1"/>
        </c:dLbls>
      </c:pie3DChart>
      <c:spPr>
        <a:noFill/>
        <a:ln>
          <a:noFill/>
        </a:ln>
        <a:effectLst/>
      </c:spPr>
    </c:plotArea>
    <c:legend>
      <c:legendPos val="b"/>
      <c:legendEntry>
        <c:idx val="1"/>
        <c:delete val="1"/>
      </c:legendEntry>
      <c:legendEntry>
        <c:idx val="2"/>
        <c:delete val="1"/>
      </c:legendEntry>
      <c:legendEntry>
        <c:idx val="4"/>
        <c:delete val="1"/>
      </c:legendEntry>
      <c:legendEntry>
        <c:idx val="6"/>
        <c:delete val="1"/>
      </c:legendEntry>
      <c:legendEntry>
        <c:idx val="8"/>
        <c:delete val="1"/>
      </c:legendEntry>
      <c:legendEntry>
        <c:idx val="9"/>
        <c:delete val="1"/>
      </c:legendEntry>
      <c:legendEntry>
        <c:idx val="10"/>
        <c:delete val="1"/>
      </c:legendEntry>
      <c:legendEntry>
        <c:idx val="12"/>
        <c:delete val="1"/>
      </c:legendEntry>
      <c:legendEntry>
        <c:idx val="14"/>
        <c:delete val="1"/>
      </c:legendEntry>
      <c:legendEntry>
        <c:idx val="17"/>
        <c:delete val="1"/>
      </c:legendEntry>
      <c:legendEntry>
        <c:idx val="1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93908</xdr:colOff>
      <xdr:row>0</xdr:row>
      <xdr:rowOff>13416</xdr:rowOff>
    </xdr:from>
    <xdr:to>
      <xdr:col>1</xdr:col>
      <xdr:colOff>67077</xdr:colOff>
      <xdr:row>2</xdr:row>
      <xdr:rowOff>214648</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93908" y="13416"/>
          <a:ext cx="2119648" cy="93908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6</xdr:col>
      <xdr:colOff>828675</xdr:colOff>
      <xdr:row>31</xdr:row>
      <xdr:rowOff>166686</xdr:rowOff>
    </xdr:from>
    <xdr:to>
      <xdr:col>9</xdr:col>
      <xdr:colOff>1609725</xdr:colOff>
      <xdr:row>48</xdr:row>
      <xdr:rowOff>171449</xdr:rowOff>
    </xdr:to>
    <xdr:graphicFrame macro="">
      <xdr:nvGraphicFramePr>
        <xdr:cNvPr id="2" name="Gráfico 1">
          <a:extLst>
            <a:ext uri="{FF2B5EF4-FFF2-40B4-BE49-F238E27FC236}">
              <a16:creationId xmlns:a16="http://schemas.microsoft.com/office/drawing/2014/main" id="{F2942045-4B4E-4BE7-9264-CFAC8235664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6</xdr:col>
      <xdr:colOff>95250</xdr:colOff>
      <xdr:row>2</xdr:row>
      <xdr:rowOff>39610</xdr:rowOff>
    </xdr:from>
    <xdr:to>
      <xdr:col>19</xdr:col>
      <xdr:colOff>200026</xdr:colOff>
      <xdr:row>11</xdr:row>
      <xdr:rowOff>122318</xdr:rowOff>
    </xdr:to>
    <xdr:graphicFrame macro="">
      <xdr:nvGraphicFramePr>
        <xdr:cNvPr id="3" name="Gráfico 2">
          <a:extLst>
            <a:ext uri="{FF2B5EF4-FFF2-40B4-BE49-F238E27FC236}">
              <a16:creationId xmlns:a16="http://schemas.microsoft.com/office/drawing/2014/main" id="{4F5BBD97-27F9-495F-AF8C-753742D1D27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57868</xdr:colOff>
      <xdr:row>13</xdr:row>
      <xdr:rowOff>3481</xdr:rowOff>
    </xdr:from>
    <xdr:to>
      <xdr:col>19</xdr:col>
      <xdr:colOff>225323</xdr:colOff>
      <xdr:row>26</xdr:row>
      <xdr:rowOff>62629</xdr:rowOff>
    </xdr:to>
    <xdr:graphicFrame macro="">
      <xdr:nvGraphicFramePr>
        <xdr:cNvPr id="5" name="Gráfico 4">
          <a:extLst>
            <a:ext uri="{FF2B5EF4-FFF2-40B4-BE49-F238E27FC236}">
              <a16:creationId xmlns:a16="http://schemas.microsoft.com/office/drawing/2014/main" id="{BC80054C-4DF4-4312-9D44-D3F0D17C1D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2</xdr:row>
      <xdr:rowOff>238124</xdr:rowOff>
    </xdr:to>
    <xdr:pic>
      <xdr:nvPicPr>
        <xdr:cNvPr id="4" name="Imagen 3">
          <a:extLst>
            <a:ext uri="{FF2B5EF4-FFF2-40B4-BE49-F238E27FC236}">
              <a16:creationId xmlns:a16="http://schemas.microsoft.com/office/drawing/2014/main" id="{E09BA514-E9FC-45A7-83D9-8A951F9403B9}"/>
            </a:ext>
          </a:extLst>
        </xdr:cNvPr>
        <xdr:cNvPicPr>
          <a:picLocks noChangeAspect="1"/>
        </xdr:cNvPicPr>
      </xdr:nvPicPr>
      <xdr:blipFill>
        <a:blip xmlns:r="http://schemas.openxmlformats.org/officeDocument/2006/relationships" r:embed="rId1" cstate="print"/>
        <a:stretch>
          <a:fillRect/>
        </a:stretch>
      </xdr:blipFill>
      <xdr:spPr>
        <a:xfrm>
          <a:off x="0" y="0"/>
          <a:ext cx="2057400" cy="981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104775</xdr:colOff>
      <xdr:row>1</xdr:row>
      <xdr:rowOff>552449</xdr:rowOff>
    </xdr:to>
    <xdr:pic>
      <xdr:nvPicPr>
        <xdr:cNvPr id="3" name="Imagen 2">
          <a:extLst>
            <a:ext uri="{FF2B5EF4-FFF2-40B4-BE49-F238E27FC236}">
              <a16:creationId xmlns:a16="http://schemas.microsoft.com/office/drawing/2014/main" id="{BA2B1481-560A-465D-B9DC-85D93A6883B9}"/>
            </a:ext>
          </a:extLst>
        </xdr:cNvPr>
        <xdr:cNvPicPr>
          <a:picLocks noChangeAspect="1"/>
        </xdr:cNvPicPr>
      </xdr:nvPicPr>
      <xdr:blipFill>
        <a:blip xmlns:r="http://schemas.openxmlformats.org/officeDocument/2006/relationships" r:embed="rId1" cstate="print"/>
        <a:stretch>
          <a:fillRect/>
        </a:stretch>
      </xdr:blipFill>
      <xdr:spPr>
        <a:xfrm>
          <a:off x="0" y="0"/>
          <a:ext cx="2057400" cy="9429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2314574</xdr:colOff>
      <xdr:row>3</xdr:row>
      <xdr:rowOff>0</xdr:rowOff>
    </xdr:to>
    <xdr:pic>
      <xdr:nvPicPr>
        <xdr:cNvPr id="2" name="Imagen 1">
          <a:extLst>
            <a:ext uri="{FF2B5EF4-FFF2-40B4-BE49-F238E27FC236}">
              <a16:creationId xmlns:a16="http://schemas.microsoft.com/office/drawing/2014/main" id="{4B54D88F-228D-45BB-B08A-AAA9FD06172F}"/>
            </a:ext>
          </a:extLst>
        </xdr:cNvPr>
        <xdr:cNvPicPr>
          <a:picLocks noChangeAspect="1"/>
        </xdr:cNvPicPr>
      </xdr:nvPicPr>
      <xdr:blipFill>
        <a:blip xmlns:r="http://schemas.openxmlformats.org/officeDocument/2006/relationships" r:embed="rId1" cstate="print"/>
        <a:stretch>
          <a:fillRect/>
        </a:stretch>
      </xdr:blipFill>
      <xdr:spPr>
        <a:xfrm>
          <a:off x="0" y="0"/>
          <a:ext cx="2314574" cy="1066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225826</xdr:rowOff>
    </xdr:from>
    <xdr:to>
      <xdr:col>0</xdr:col>
      <xdr:colOff>981310</xdr:colOff>
      <xdr:row>2</xdr:row>
      <xdr:rowOff>177252</xdr:rowOff>
    </xdr:to>
    <xdr:pic>
      <xdr:nvPicPr>
        <xdr:cNvPr id="2" name="Imagen 1">
          <a:extLst>
            <a:ext uri="{FF2B5EF4-FFF2-40B4-BE49-F238E27FC236}">
              <a16:creationId xmlns:a16="http://schemas.microsoft.com/office/drawing/2014/main" id="{6A91D4A2-7000-4E4A-8507-C9B6D3DEF0B7}"/>
            </a:ext>
          </a:extLst>
        </xdr:cNvPr>
        <xdr:cNvPicPr>
          <a:picLocks noChangeAspect="1"/>
        </xdr:cNvPicPr>
      </xdr:nvPicPr>
      <xdr:blipFill>
        <a:blip xmlns:r="http://schemas.openxmlformats.org/officeDocument/2006/relationships" r:embed="rId1" cstate="print"/>
        <a:stretch>
          <a:fillRect/>
        </a:stretch>
      </xdr:blipFill>
      <xdr:spPr>
        <a:xfrm>
          <a:off x="0" y="225826"/>
          <a:ext cx="981310" cy="370526"/>
        </a:xfrm>
        <a:prstGeom prst="rect">
          <a:avLst/>
        </a:prstGeom>
      </xdr:spPr>
    </xdr:pic>
    <xdr:clientData/>
  </xdr:twoCellAnchor>
  <xdr:twoCellAnchor editAs="oneCell">
    <xdr:from>
      <xdr:col>0</xdr:col>
      <xdr:colOff>0</xdr:colOff>
      <xdr:row>0</xdr:row>
      <xdr:rowOff>103429</xdr:rowOff>
    </xdr:from>
    <xdr:to>
      <xdr:col>0</xdr:col>
      <xdr:colOff>1962263</xdr:colOff>
      <xdr:row>3</xdr:row>
      <xdr:rowOff>0</xdr:rowOff>
    </xdr:to>
    <xdr:pic>
      <xdr:nvPicPr>
        <xdr:cNvPr id="3" name="Imagen 2">
          <a:extLst>
            <a:ext uri="{FF2B5EF4-FFF2-40B4-BE49-F238E27FC236}">
              <a16:creationId xmlns:a16="http://schemas.microsoft.com/office/drawing/2014/main" id="{8A146DA9-687A-42B4-8418-3AB53920A26C}"/>
            </a:ext>
          </a:extLst>
        </xdr:cNvPr>
        <xdr:cNvPicPr>
          <a:picLocks noChangeAspect="1"/>
        </xdr:cNvPicPr>
      </xdr:nvPicPr>
      <xdr:blipFill>
        <a:blip xmlns:r="http://schemas.openxmlformats.org/officeDocument/2006/relationships" r:embed="rId1" cstate="print"/>
        <a:stretch>
          <a:fillRect/>
        </a:stretch>
      </xdr:blipFill>
      <xdr:spPr>
        <a:xfrm>
          <a:off x="0" y="103429"/>
          <a:ext cx="1962263" cy="96337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2105025</xdr:colOff>
      <xdr:row>2</xdr:row>
      <xdr:rowOff>304800</xdr:rowOff>
    </xdr:to>
    <xdr:pic>
      <xdr:nvPicPr>
        <xdr:cNvPr id="2" name="Imagen 1">
          <a:extLst>
            <a:ext uri="{FF2B5EF4-FFF2-40B4-BE49-F238E27FC236}">
              <a16:creationId xmlns:a16="http://schemas.microsoft.com/office/drawing/2014/main" id="{59012FE9-1B8A-41F0-B713-3FFBEBFF4D65}"/>
            </a:ext>
          </a:extLst>
        </xdr:cNvPr>
        <xdr:cNvPicPr>
          <a:picLocks noChangeAspect="1"/>
        </xdr:cNvPicPr>
      </xdr:nvPicPr>
      <xdr:blipFill>
        <a:blip xmlns:r="http://schemas.openxmlformats.org/officeDocument/2006/relationships" r:embed="rId1" cstate="print"/>
        <a:stretch>
          <a:fillRect/>
        </a:stretch>
      </xdr:blipFill>
      <xdr:spPr>
        <a:xfrm>
          <a:off x="0" y="0"/>
          <a:ext cx="2105025" cy="10477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xdr:colOff>
      <xdr:row>3</xdr:row>
      <xdr:rowOff>2459</xdr:rowOff>
    </xdr:to>
    <xdr:pic>
      <xdr:nvPicPr>
        <xdr:cNvPr id="2" name="Imagen 1">
          <a:extLst>
            <a:ext uri="{FF2B5EF4-FFF2-40B4-BE49-F238E27FC236}">
              <a16:creationId xmlns:a16="http://schemas.microsoft.com/office/drawing/2014/main" id="{625B6F21-AD66-45D2-8951-E2BACB220826}"/>
            </a:ext>
          </a:extLst>
        </xdr:cNvPr>
        <xdr:cNvPicPr>
          <a:picLocks noChangeAspect="1"/>
        </xdr:cNvPicPr>
      </xdr:nvPicPr>
      <xdr:blipFill>
        <a:blip xmlns:r="http://schemas.openxmlformats.org/officeDocument/2006/relationships" r:embed="rId1" cstate="print"/>
        <a:stretch>
          <a:fillRect/>
        </a:stretch>
      </xdr:blipFill>
      <xdr:spPr>
        <a:xfrm>
          <a:off x="0" y="0"/>
          <a:ext cx="1762126" cy="106290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2057400</xdr:colOff>
      <xdr:row>1</xdr:row>
      <xdr:rowOff>190500</xdr:rowOff>
    </xdr:to>
    <xdr:pic>
      <xdr:nvPicPr>
        <xdr:cNvPr id="2" name="Imagen 1">
          <a:extLst>
            <a:ext uri="{FF2B5EF4-FFF2-40B4-BE49-F238E27FC236}">
              <a16:creationId xmlns:a16="http://schemas.microsoft.com/office/drawing/2014/main" id="{478796DF-20C9-426A-A127-682BA8369D22}"/>
            </a:ext>
          </a:extLst>
        </xdr:cNvPr>
        <xdr:cNvPicPr>
          <a:picLocks noChangeAspect="1"/>
        </xdr:cNvPicPr>
      </xdr:nvPicPr>
      <xdr:blipFill>
        <a:blip xmlns:r="http://schemas.openxmlformats.org/officeDocument/2006/relationships" r:embed="rId1" cstate="print"/>
        <a:stretch>
          <a:fillRect/>
        </a:stretch>
      </xdr:blipFill>
      <xdr:spPr>
        <a:xfrm>
          <a:off x="0" y="0"/>
          <a:ext cx="2057400" cy="581025"/>
        </a:xfrm>
        <a:prstGeom prst="rect">
          <a:avLst/>
        </a:prstGeom>
      </xdr:spPr>
    </xdr:pic>
    <xdr:clientData/>
  </xdr:twoCellAnchor>
  <xdr:twoCellAnchor editAs="oneCell">
    <xdr:from>
      <xdr:col>0</xdr:col>
      <xdr:colOff>0</xdr:colOff>
      <xdr:row>0</xdr:row>
      <xdr:rowOff>13416</xdr:rowOff>
    </xdr:from>
    <xdr:to>
      <xdr:col>0</xdr:col>
      <xdr:colOff>2116294</xdr:colOff>
      <xdr:row>2</xdr:row>
      <xdr:rowOff>214648</xdr:rowOff>
    </xdr:to>
    <xdr:pic>
      <xdr:nvPicPr>
        <xdr:cNvPr id="3" name="Imagen 2">
          <a:extLst>
            <a:ext uri="{FF2B5EF4-FFF2-40B4-BE49-F238E27FC236}">
              <a16:creationId xmlns:a16="http://schemas.microsoft.com/office/drawing/2014/main" id="{7A48140F-7D2A-4F6C-9F74-8070254EF0AE}"/>
            </a:ext>
          </a:extLst>
        </xdr:cNvPr>
        <xdr:cNvPicPr>
          <a:picLocks noChangeAspect="1"/>
        </xdr:cNvPicPr>
      </xdr:nvPicPr>
      <xdr:blipFill>
        <a:blip xmlns:r="http://schemas.openxmlformats.org/officeDocument/2006/relationships" r:embed="rId1" cstate="print"/>
        <a:stretch>
          <a:fillRect/>
        </a:stretch>
      </xdr:blipFill>
      <xdr:spPr>
        <a:xfrm>
          <a:off x="93908" y="13416"/>
          <a:ext cx="2116294" cy="94418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13416</xdr:rowOff>
    </xdr:from>
    <xdr:to>
      <xdr:col>0</xdr:col>
      <xdr:colOff>1885950</xdr:colOff>
      <xdr:row>2</xdr:row>
      <xdr:rowOff>314325</xdr:rowOff>
    </xdr:to>
    <xdr:pic>
      <xdr:nvPicPr>
        <xdr:cNvPr id="2" name="Imagen 1">
          <a:extLst>
            <a:ext uri="{FF2B5EF4-FFF2-40B4-BE49-F238E27FC236}">
              <a16:creationId xmlns:a16="http://schemas.microsoft.com/office/drawing/2014/main" id="{42868555-9DC3-4E57-B4A8-F132EAA59CF7}"/>
            </a:ext>
          </a:extLst>
        </xdr:cNvPr>
        <xdr:cNvPicPr>
          <a:picLocks noChangeAspect="1"/>
        </xdr:cNvPicPr>
      </xdr:nvPicPr>
      <xdr:blipFill>
        <a:blip xmlns:r="http://schemas.openxmlformats.org/officeDocument/2006/relationships" r:embed="rId1" cstate="print"/>
        <a:stretch>
          <a:fillRect/>
        </a:stretch>
      </xdr:blipFill>
      <xdr:spPr>
        <a:xfrm>
          <a:off x="0" y="13416"/>
          <a:ext cx="1885950" cy="10438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puerta/Desktop/PLAN%20DE%20ADQUISICION/POAI%202021/Plantilla%20de%20presupuesto%20vigencia%202021%20antigua%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Información general"/>
      <sheetName val="Datos seguridad social"/>
      <sheetName val="Cálculos seguridad social"/>
      <sheetName val="Proyeccion de Planta de cargos"/>
      <sheetName val="Jubilados"/>
      <sheetName val="Datos a presupuestar"/>
      <sheetName val="Datos de desfinanciación"/>
      <sheetName val="Presupuesto equilibrado"/>
      <sheetName val="Certificado de mantenimiento"/>
    </sheetNames>
    <sheetDataSet>
      <sheetData sheetId="0"/>
      <sheetData sheetId="1"/>
      <sheetData sheetId="2">
        <row r="5">
          <cell r="C5">
            <v>1</v>
          </cell>
          <cell r="J5">
            <v>11610515</v>
          </cell>
          <cell r="K5">
            <v>0</v>
          </cell>
        </row>
        <row r="6">
          <cell r="C6">
            <v>1</v>
          </cell>
          <cell r="J6">
            <v>8455138</v>
          </cell>
          <cell r="K6">
            <v>0</v>
          </cell>
        </row>
        <row r="7">
          <cell r="C7">
            <v>1</v>
          </cell>
          <cell r="J7">
            <v>5972358</v>
          </cell>
          <cell r="K7">
            <v>0</v>
          </cell>
        </row>
        <row r="8">
          <cell r="C8">
            <v>1</v>
          </cell>
          <cell r="J8">
            <v>2601568</v>
          </cell>
          <cell r="K8">
            <v>0</v>
          </cell>
        </row>
        <row r="9">
          <cell r="C9">
            <v>1</v>
          </cell>
          <cell r="J9">
            <v>5972391</v>
          </cell>
          <cell r="K9">
            <v>0</v>
          </cell>
        </row>
        <row r="10">
          <cell r="C10">
            <v>1</v>
          </cell>
          <cell r="J10">
            <v>3688613</v>
          </cell>
          <cell r="K10">
            <v>0</v>
          </cell>
        </row>
        <row r="11">
          <cell r="C11">
            <v>1</v>
          </cell>
          <cell r="J11">
            <v>2057860</v>
          </cell>
          <cell r="K11">
            <v>0</v>
          </cell>
        </row>
        <row r="12">
          <cell r="C12">
            <v>1</v>
          </cell>
          <cell r="J12">
            <v>2366538</v>
          </cell>
          <cell r="K12">
            <v>530155</v>
          </cell>
        </row>
        <row r="13">
          <cell r="C13">
            <v>1</v>
          </cell>
          <cell r="J13">
            <v>2057860</v>
          </cell>
          <cell r="K13">
            <v>0</v>
          </cell>
        </row>
        <row r="14">
          <cell r="C14">
            <v>1</v>
          </cell>
          <cell r="J14">
            <v>1808237</v>
          </cell>
          <cell r="K14">
            <v>0</v>
          </cell>
        </row>
        <row r="15">
          <cell r="C15">
            <v>1</v>
          </cell>
          <cell r="J15">
            <v>2057860</v>
          </cell>
          <cell r="K15">
            <v>0</v>
          </cell>
        </row>
        <row r="16">
          <cell r="C16">
            <v>1</v>
          </cell>
          <cell r="J16">
            <v>2057860</v>
          </cell>
          <cell r="K16">
            <v>0</v>
          </cell>
        </row>
        <row r="17">
          <cell r="C17">
            <v>1</v>
          </cell>
          <cell r="J17">
            <v>2256844</v>
          </cell>
          <cell r="K17">
            <v>0</v>
          </cell>
        </row>
        <row r="18">
          <cell r="C18">
            <v>1</v>
          </cell>
          <cell r="J18">
            <v>2079472</v>
          </cell>
          <cell r="K18">
            <v>0</v>
          </cell>
        </row>
        <row r="19">
          <cell r="C19">
            <v>1</v>
          </cell>
          <cell r="J19">
            <v>2057860</v>
          </cell>
          <cell r="K19">
            <v>0</v>
          </cell>
        </row>
        <row r="20">
          <cell r="C20">
            <v>1</v>
          </cell>
          <cell r="J20">
            <v>2480821</v>
          </cell>
          <cell r="K20">
            <v>0</v>
          </cell>
        </row>
        <row r="21">
          <cell r="D21">
            <v>1</v>
          </cell>
          <cell r="J21">
            <v>2057860</v>
          </cell>
          <cell r="K21">
            <v>215724</v>
          </cell>
        </row>
        <row r="22">
          <cell r="D22">
            <v>1</v>
          </cell>
          <cell r="J22">
            <v>2057860</v>
          </cell>
          <cell r="K22">
            <v>607091</v>
          </cell>
        </row>
        <row r="23">
          <cell r="C23">
            <v>1</v>
          </cell>
          <cell r="J23">
            <v>2480821</v>
          </cell>
          <cell r="K23">
            <v>0</v>
          </cell>
        </row>
        <row r="24">
          <cell r="C24">
            <v>1</v>
          </cell>
          <cell r="J24">
            <v>2057860</v>
          </cell>
          <cell r="K24">
            <v>0</v>
          </cell>
        </row>
        <row r="25">
          <cell r="D25">
            <v>1</v>
          </cell>
          <cell r="J25">
            <v>2057860</v>
          </cell>
          <cell r="K25">
            <v>413021</v>
          </cell>
        </row>
        <row r="26">
          <cell r="D26">
            <v>1</v>
          </cell>
          <cell r="J26">
            <v>2057860</v>
          </cell>
          <cell r="K26">
            <v>291227</v>
          </cell>
        </row>
        <row r="27">
          <cell r="D27">
            <v>1</v>
          </cell>
          <cell r="J27">
            <v>2480821</v>
          </cell>
          <cell r="K27">
            <v>0</v>
          </cell>
        </row>
        <row r="28">
          <cell r="D28">
            <v>1</v>
          </cell>
          <cell r="J28">
            <v>2057860</v>
          </cell>
          <cell r="K28">
            <v>291227</v>
          </cell>
        </row>
        <row r="29">
          <cell r="D29">
            <v>1</v>
          </cell>
          <cell r="J29">
            <v>2480821</v>
          </cell>
          <cell r="K29">
            <v>215724</v>
          </cell>
        </row>
        <row r="30">
          <cell r="D30">
            <v>1</v>
          </cell>
          <cell r="J30">
            <v>2057860</v>
          </cell>
          <cell r="K30">
            <v>468301</v>
          </cell>
        </row>
        <row r="31">
          <cell r="D31">
            <v>1</v>
          </cell>
          <cell r="J31">
            <v>2480821</v>
          </cell>
          <cell r="K31">
            <v>330776</v>
          </cell>
        </row>
        <row r="32">
          <cell r="D32">
            <v>1</v>
          </cell>
          <cell r="J32">
            <v>2057860</v>
          </cell>
          <cell r="K32">
            <v>0</v>
          </cell>
        </row>
        <row r="33">
          <cell r="D33">
            <v>1</v>
          </cell>
          <cell r="J33">
            <v>2480821</v>
          </cell>
          <cell r="K33">
            <v>215724</v>
          </cell>
        </row>
        <row r="34">
          <cell r="D34">
            <v>1</v>
          </cell>
          <cell r="J34">
            <v>2057860</v>
          </cell>
          <cell r="K34">
            <v>360438</v>
          </cell>
        </row>
        <row r="35">
          <cell r="D35">
            <v>1</v>
          </cell>
          <cell r="J35">
            <v>2480821</v>
          </cell>
          <cell r="K35">
            <v>0</v>
          </cell>
        </row>
        <row r="36">
          <cell r="D36">
            <v>1</v>
          </cell>
          <cell r="J36">
            <v>2480821</v>
          </cell>
          <cell r="K36">
            <v>0</v>
          </cell>
        </row>
        <row r="37">
          <cell r="D37">
            <v>1</v>
          </cell>
          <cell r="J37">
            <v>2057860</v>
          </cell>
          <cell r="K37">
            <v>291227</v>
          </cell>
        </row>
        <row r="38">
          <cell r="D38">
            <v>1</v>
          </cell>
          <cell r="J38">
            <v>2057860</v>
          </cell>
          <cell r="K38">
            <v>0</v>
          </cell>
        </row>
        <row r="39">
          <cell r="D39">
            <v>1</v>
          </cell>
          <cell r="J39">
            <v>2480821</v>
          </cell>
          <cell r="K39">
            <v>0</v>
          </cell>
        </row>
        <row r="40">
          <cell r="D40">
            <v>1</v>
          </cell>
          <cell r="J40">
            <v>2057860</v>
          </cell>
          <cell r="K40">
            <v>486086</v>
          </cell>
        </row>
        <row r="41">
          <cell r="D41">
            <v>1</v>
          </cell>
          <cell r="J41">
            <v>2057860</v>
          </cell>
          <cell r="K41">
            <v>291227</v>
          </cell>
        </row>
        <row r="42">
          <cell r="D42">
            <v>1</v>
          </cell>
          <cell r="J42">
            <v>2057860</v>
          </cell>
          <cell r="K42">
            <v>468301</v>
          </cell>
        </row>
        <row r="43">
          <cell r="C43">
            <v>1</v>
          </cell>
          <cell r="J43">
            <v>2480821</v>
          </cell>
          <cell r="K43">
            <v>0</v>
          </cell>
        </row>
        <row r="44">
          <cell r="D44">
            <v>1</v>
          </cell>
          <cell r="J44">
            <v>2057860</v>
          </cell>
          <cell r="K44">
            <v>486086</v>
          </cell>
        </row>
        <row r="45">
          <cell r="D45">
            <v>1</v>
          </cell>
          <cell r="J45">
            <v>2480821</v>
          </cell>
          <cell r="K45">
            <v>330776</v>
          </cell>
        </row>
        <row r="46">
          <cell r="D46">
            <v>1</v>
          </cell>
          <cell r="J46">
            <v>2057860</v>
          </cell>
          <cell r="K46">
            <v>486086</v>
          </cell>
        </row>
        <row r="47">
          <cell r="D47">
            <v>1</v>
          </cell>
          <cell r="J47">
            <v>2057860</v>
          </cell>
          <cell r="K47">
            <v>291227</v>
          </cell>
        </row>
        <row r="48">
          <cell r="D48">
            <v>1</v>
          </cell>
          <cell r="J48">
            <v>2480821</v>
          </cell>
          <cell r="K48">
            <v>0</v>
          </cell>
        </row>
        <row r="49">
          <cell r="D49">
            <v>1</v>
          </cell>
          <cell r="J49">
            <v>2480821</v>
          </cell>
          <cell r="K49">
            <v>330776</v>
          </cell>
        </row>
        <row r="50">
          <cell r="D50">
            <v>1</v>
          </cell>
          <cell r="J50">
            <v>2480821</v>
          </cell>
          <cell r="K50">
            <v>248082</v>
          </cell>
        </row>
        <row r="51">
          <cell r="D51">
            <v>1</v>
          </cell>
          <cell r="J51">
            <v>2057860</v>
          </cell>
          <cell r="K51">
            <v>291227</v>
          </cell>
        </row>
        <row r="52">
          <cell r="C52">
            <v>1</v>
          </cell>
          <cell r="J52">
            <v>2480821</v>
          </cell>
          <cell r="K52">
            <v>330776</v>
          </cell>
        </row>
        <row r="53">
          <cell r="D53">
            <v>1</v>
          </cell>
          <cell r="J53">
            <v>2480821</v>
          </cell>
          <cell r="K53">
            <v>0</v>
          </cell>
        </row>
        <row r="54">
          <cell r="D54">
            <v>1</v>
          </cell>
          <cell r="J54">
            <v>2480821</v>
          </cell>
          <cell r="K54">
            <v>0</v>
          </cell>
        </row>
        <row r="55">
          <cell r="D55">
            <v>1</v>
          </cell>
          <cell r="J55">
            <v>2057860</v>
          </cell>
          <cell r="K55">
            <v>468301</v>
          </cell>
        </row>
        <row r="56">
          <cell r="D56">
            <v>1</v>
          </cell>
          <cell r="J56">
            <v>3802627</v>
          </cell>
          <cell r="K56">
            <v>570394</v>
          </cell>
        </row>
        <row r="57">
          <cell r="D57">
            <v>1</v>
          </cell>
          <cell r="J57">
            <v>3802627</v>
          </cell>
          <cell r="K57">
            <v>0</v>
          </cell>
        </row>
        <row r="58">
          <cell r="D58">
            <v>1</v>
          </cell>
          <cell r="J58">
            <v>3802627</v>
          </cell>
          <cell r="K58">
            <v>570394</v>
          </cell>
        </row>
        <row r="59">
          <cell r="D59">
            <v>1</v>
          </cell>
          <cell r="J59">
            <v>3802627</v>
          </cell>
          <cell r="K59">
            <v>570394</v>
          </cell>
        </row>
        <row r="60">
          <cell r="D60">
            <v>1</v>
          </cell>
          <cell r="J60">
            <v>3802627</v>
          </cell>
          <cell r="K60">
            <v>570394</v>
          </cell>
        </row>
        <row r="61">
          <cell r="D61">
            <v>1</v>
          </cell>
          <cell r="J61">
            <v>3802627</v>
          </cell>
          <cell r="K61">
            <v>380262</v>
          </cell>
        </row>
        <row r="62">
          <cell r="D62">
            <v>1</v>
          </cell>
          <cell r="J62">
            <v>3802627</v>
          </cell>
          <cell r="K62">
            <v>380262</v>
          </cell>
        </row>
        <row r="63">
          <cell r="D63">
            <v>1</v>
          </cell>
          <cell r="J63">
            <v>3802627</v>
          </cell>
          <cell r="K63">
            <v>380262</v>
          </cell>
        </row>
        <row r="64">
          <cell r="D64">
            <v>1</v>
          </cell>
          <cell r="J64">
            <v>3802627</v>
          </cell>
          <cell r="K64">
            <v>380262</v>
          </cell>
        </row>
        <row r="65">
          <cell r="D65">
            <v>1</v>
          </cell>
          <cell r="J65">
            <v>3802627</v>
          </cell>
          <cell r="K65">
            <v>571062</v>
          </cell>
        </row>
        <row r="66">
          <cell r="D66">
            <v>1</v>
          </cell>
          <cell r="J66">
            <v>3802627</v>
          </cell>
          <cell r="K66">
            <v>571062</v>
          </cell>
        </row>
        <row r="67">
          <cell r="C67">
            <v>1</v>
          </cell>
          <cell r="J67">
            <v>5322294</v>
          </cell>
          <cell r="K67">
            <v>798344</v>
          </cell>
        </row>
        <row r="68">
          <cell r="D68">
            <v>1</v>
          </cell>
          <cell r="J68">
            <v>8691535</v>
          </cell>
          <cell r="K68">
            <v>826056</v>
          </cell>
        </row>
        <row r="69">
          <cell r="D69">
            <v>1</v>
          </cell>
          <cell r="J69">
            <v>6613124</v>
          </cell>
          <cell r="K69">
            <v>699652</v>
          </cell>
        </row>
        <row r="70">
          <cell r="C70">
            <v>1</v>
          </cell>
          <cell r="J70">
            <v>7557856</v>
          </cell>
          <cell r="K70">
            <v>0</v>
          </cell>
        </row>
        <row r="71">
          <cell r="D71">
            <v>1</v>
          </cell>
          <cell r="J71">
            <v>7557856</v>
          </cell>
          <cell r="K71">
            <v>0</v>
          </cell>
        </row>
        <row r="72">
          <cell r="D72">
            <v>1</v>
          </cell>
          <cell r="J72">
            <v>6304273</v>
          </cell>
          <cell r="K72">
            <v>0</v>
          </cell>
        </row>
        <row r="73">
          <cell r="D73">
            <v>1</v>
          </cell>
          <cell r="J73">
            <v>5481977</v>
          </cell>
          <cell r="K73">
            <v>434179</v>
          </cell>
        </row>
        <row r="74">
          <cell r="D74">
            <v>1</v>
          </cell>
          <cell r="J74">
            <v>5481977</v>
          </cell>
          <cell r="K74">
            <v>0</v>
          </cell>
        </row>
        <row r="75">
          <cell r="D75">
            <v>1</v>
          </cell>
          <cell r="J75">
            <v>5481977</v>
          </cell>
          <cell r="K75">
            <v>0</v>
          </cell>
        </row>
        <row r="76">
          <cell r="D76">
            <v>1</v>
          </cell>
          <cell r="J76">
            <v>2740990</v>
          </cell>
          <cell r="K76">
            <v>0</v>
          </cell>
        </row>
        <row r="77">
          <cell r="D77">
            <v>1</v>
          </cell>
          <cell r="J77">
            <v>2742050</v>
          </cell>
          <cell r="K77">
            <v>0</v>
          </cell>
        </row>
        <row r="78">
          <cell r="D78">
            <v>1</v>
          </cell>
          <cell r="J78">
            <v>2742050</v>
          </cell>
          <cell r="K78">
            <v>0</v>
          </cell>
        </row>
        <row r="79">
          <cell r="D79">
            <v>1</v>
          </cell>
          <cell r="J79">
            <v>2742050</v>
          </cell>
          <cell r="K79">
            <v>0</v>
          </cell>
        </row>
        <row r="80">
          <cell r="D80">
            <v>1</v>
          </cell>
          <cell r="J80">
            <v>2742050</v>
          </cell>
          <cell r="K80">
            <v>344406</v>
          </cell>
        </row>
        <row r="81">
          <cell r="D81">
            <v>1</v>
          </cell>
          <cell r="J81">
            <v>2311530</v>
          </cell>
          <cell r="K81">
            <v>0</v>
          </cell>
        </row>
        <row r="82">
          <cell r="D82">
            <v>1</v>
          </cell>
          <cell r="J82">
            <v>3688613</v>
          </cell>
          <cell r="K82">
            <v>0</v>
          </cell>
        </row>
        <row r="83">
          <cell r="C83">
            <v>1</v>
          </cell>
          <cell r="J83">
            <v>5322294</v>
          </cell>
          <cell r="K83">
            <v>0</v>
          </cell>
        </row>
        <row r="84">
          <cell r="C84">
            <v>1</v>
          </cell>
          <cell r="J84">
            <v>3688613</v>
          </cell>
          <cell r="K84">
            <v>0</v>
          </cell>
        </row>
        <row r="85">
          <cell r="C85">
            <v>1</v>
          </cell>
          <cell r="J85">
            <v>6501762</v>
          </cell>
          <cell r="K85">
            <v>0</v>
          </cell>
        </row>
        <row r="86">
          <cell r="D86">
            <v>1</v>
          </cell>
          <cell r="J86">
            <v>5779475</v>
          </cell>
          <cell r="K86">
            <v>0</v>
          </cell>
        </row>
        <row r="87">
          <cell r="C87">
            <v>1</v>
          </cell>
          <cell r="J87">
            <v>2756252</v>
          </cell>
          <cell r="K87">
            <v>0</v>
          </cell>
        </row>
        <row r="88">
          <cell r="C88">
            <v>1</v>
          </cell>
          <cell r="J88">
            <v>2256844</v>
          </cell>
          <cell r="K88">
            <v>0</v>
          </cell>
        </row>
        <row r="89">
          <cell r="C89">
            <v>1</v>
          </cell>
          <cell r="J89">
            <v>2057860</v>
          </cell>
          <cell r="K89">
            <v>85744</v>
          </cell>
        </row>
        <row r="90">
          <cell r="C90">
            <v>1</v>
          </cell>
          <cell r="J90">
            <v>2057860</v>
          </cell>
          <cell r="K90">
            <v>0</v>
          </cell>
        </row>
        <row r="91">
          <cell r="C91">
            <v>1</v>
          </cell>
          <cell r="J91">
            <v>2057860</v>
          </cell>
          <cell r="K91">
            <v>0</v>
          </cell>
        </row>
        <row r="92">
          <cell r="C92">
            <v>1</v>
          </cell>
          <cell r="J92">
            <v>2057860</v>
          </cell>
          <cell r="K92">
            <v>0</v>
          </cell>
        </row>
        <row r="93">
          <cell r="C93">
            <v>1</v>
          </cell>
          <cell r="J93">
            <v>2256844</v>
          </cell>
          <cell r="K93">
            <v>0</v>
          </cell>
        </row>
        <row r="94">
          <cell r="C94">
            <v>1</v>
          </cell>
          <cell r="J94">
            <v>2256844</v>
          </cell>
          <cell r="K94">
            <v>0</v>
          </cell>
        </row>
        <row r="95">
          <cell r="C95">
            <v>1</v>
          </cell>
          <cell r="J95">
            <v>2256844</v>
          </cell>
          <cell r="K95">
            <v>0</v>
          </cell>
        </row>
        <row r="96">
          <cell r="C96">
            <v>1</v>
          </cell>
          <cell r="J96">
            <v>3137976</v>
          </cell>
          <cell r="K96">
            <v>0</v>
          </cell>
        </row>
        <row r="97">
          <cell r="C97">
            <v>1</v>
          </cell>
          <cell r="J97">
            <v>3137976</v>
          </cell>
          <cell r="K97">
            <v>0</v>
          </cell>
        </row>
        <row r="98">
          <cell r="D98">
            <v>1</v>
          </cell>
          <cell r="J98">
            <v>3032500</v>
          </cell>
          <cell r="K98">
            <v>599550</v>
          </cell>
        </row>
        <row r="99">
          <cell r="C99">
            <v>1</v>
          </cell>
          <cell r="J99">
            <v>2881627</v>
          </cell>
          <cell r="K99">
            <v>0</v>
          </cell>
        </row>
        <row r="100">
          <cell r="C100">
            <v>1</v>
          </cell>
          <cell r="J100">
            <v>3170205</v>
          </cell>
          <cell r="K100">
            <v>0</v>
          </cell>
        </row>
        <row r="101">
          <cell r="C101">
            <v>1</v>
          </cell>
          <cell r="J101">
            <v>2505893</v>
          </cell>
          <cell r="K101">
            <v>0</v>
          </cell>
        </row>
        <row r="102">
          <cell r="D102">
            <v>1</v>
          </cell>
          <cell r="J102">
            <v>1964723</v>
          </cell>
          <cell r="K102">
            <v>515331</v>
          </cell>
        </row>
        <row r="103">
          <cell r="D103">
            <v>1</v>
          </cell>
          <cell r="J103">
            <v>1964723</v>
          </cell>
          <cell r="K103">
            <v>515331</v>
          </cell>
        </row>
        <row r="104">
          <cell r="D104">
            <v>1</v>
          </cell>
          <cell r="J104">
            <v>1964723</v>
          </cell>
          <cell r="K104">
            <v>515331</v>
          </cell>
        </row>
        <row r="105">
          <cell r="D105">
            <v>1</v>
          </cell>
          <cell r="J105">
            <v>1964723</v>
          </cell>
          <cell r="K105">
            <v>515331</v>
          </cell>
        </row>
        <row r="106">
          <cell r="C106">
            <v>1</v>
          </cell>
          <cell r="J106">
            <v>1964723</v>
          </cell>
          <cell r="K106">
            <v>515331</v>
          </cell>
        </row>
        <row r="107">
          <cell r="D107">
            <v>1</v>
          </cell>
          <cell r="J107">
            <v>1964723</v>
          </cell>
          <cell r="K107">
            <v>515331</v>
          </cell>
        </row>
        <row r="108">
          <cell r="C108">
            <v>1</v>
          </cell>
          <cell r="J108">
            <v>2057860</v>
          </cell>
          <cell r="K108">
            <v>0</v>
          </cell>
        </row>
        <row r="109">
          <cell r="D109">
            <v>1</v>
          </cell>
          <cell r="J109">
            <v>2157235</v>
          </cell>
          <cell r="K109">
            <v>291227</v>
          </cell>
        </row>
        <row r="110">
          <cell r="D110">
            <v>1</v>
          </cell>
          <cell r="J110">
            <v>2157235</v>
          </cell>
          <cell r="K110">
            <v>291227</v>
          </cell>
        </row>
        <row r="111">
          <cell r="D111">
            <v>1</v>
          </cell>
          <cell r="J111">
            <v>2157235</v>
          </cell>
          <cell r="K111">
            <v>291227</v>
          </cell>
        </row>
        <row r="112">
          <cell r="D112">
            <v>1</v>
          </cell>
          <cell r="J112">
            <v>2157235</v>
          </cell>
          <cell r="K112">
            <v>291227</v>
          </cell>
        </row>
        <row r="113">
          <cell r="D113">
            <v>1</v>
          </cell>
          <cell r="J113">
            <v>2157235</v>
          </cell>
          <cell r="K113">
            <v>291227</v>
          </cell>
        </row>
        <row r="114">
          <cell r="D114">
            <v>1</v>
          </cell>
          <cell r="J114">
            <v>2157235</v>
          </cell>
          <cell r="K114">
            <v>291227</v>
          </cell>
        </row>
        <row r="115">
          <cell r="D115">
            <v>1</v>
          </cell>
          <cell r="J115">
            <v>2157235</v>
          </cell>
          <cell r="K115">
            <v>291227</v>
          </cell>
        </row>
        <row r="116">
          <cell r="D116">
            <v>1</v>
          </cell>
          <cell r="J116">
            <v>2157235</v>
          </cell>
          <cell r="K116">
            <v>291227</v>
          </cell>
        </row>
        <row r="117">
          <cell r="D117">
            <v>1</v>
          </cell>
          <cell r="J117">
            <v>2157235</v>
          </cell>
          <cell r="K117">
            <v>291227</v>
          </cell>
        </row>
        <row r="118">
          <cell r="D118">
            <v>1</v>
          </cell>
          <cell r="J118">
            <v>2157235</v>
          </cell>
          <cell r="K118">
            <v>291227</v>
          </cell>
        </row>
        <row r="119">
          <cell r="D119">
            <v>1</v>
          </cell>
          <cell r="J119">
            <v>2157235</v>
          </cell>
          <cell r="K119">
            <v>291227</v>
          </cell>
        </row>
        <row r="120">
          <cell r="D120">
            <v>1</v>
          </cell>
          <cell r="J120">
            <v>2157235</v>
          </cell>
          <cell r="K120">
            <v>291227</v>
          </cell>
        </row>
        <row r="121">
          <cell r="D121">
            <v>1</v>
          </cell>
          <cell r="J121">
            <v>2157235</v>
          </cell>
          <cell r="K121">
            <v>291227</v>
          </cell>
        </row>
        <row r="122">
          <cell r="D122">
            <v>1</v>
          </cell>
          <cell r="J122">
            <v>2157235</v>
          </cell>
          <cell r="K122">
            <v>291227</v>
          </cell>
        </row>
        <row r="123">
          <cell r="D123">
            <v>1</v>
          </cell>
          <cell r="J123">
            <v>2157235</v>
          </cell>
          <cell r="K123">
            <v>291227</v>
          </cell>
        </row>
        <row r="124">
          <cell r="D124">
            <v>1</v>
          </cell>
          <cell r="J124">
            <v>2157235</v>
          </cell>
          <cell r="K124">
            <v>291227</v>
          </cell>
        </row>
        <row r="125">
          <cell r="D125">
            <v>1</v>
          </cell>
          <cell r="J125">
            <v>2157235</v>
          </cell>
          <cell r="K125">
            <v>291227</v>
          </cell>
        </row>
        <row r="126">
          <cell r="D126">
            <v>1</v>
          </cell>
          <cell r="J126">
            <v>2157235</v>
          </cell>
          <cell r="K126">
            <v>291227</v>
          </cell>
        </row>
        <row r="127">
          <cell r="D127">
            <v>1</v>
          </cell>
          <cell r="J127">
            <v>2157235</v>
          </cell>
          <cell r="K127">
            <v>291227</v>
          </cell>
        </row>
        <row r="128">
          <cell r="D128">
            <v>1</v>
          </cell>
          <cell r="J128">
            <v>2157235</v>
          </cell>
          <cell r="K128">
            <v>291227</v>
          </cell>
        </row>
        <row r="129">
          <cell r="D129">
            <v>1</v>
          </cell>
          <cell r="J129">
            <v>2157235</v>
          </cell>
          <cell r="K129">
            <v>291227</v>
          </cell>
        </row>
        <row r="130">
          <cell r="D130">
            <v>1</v>
          </cell>
          <cell r="J130">
            <v>2157235</v>
          </cell>
          <cell r="K130">
            <v>291227</v>
          </cell>
        </row>
        <row r="131">
          <cell r="D131">
            <v>1</v>
          </cell>
          <cell r="J131">
            <v>2157235</v>
          </cell>
          <cell r="K131">
            <v>291227</v>
          </cell>
        </row>
        <row r="132">
          <cell r="D132">
            <v>1</v>
          </cell>
          <cell r="J132">
            <v>2157235</v>
          </cell>
          <cell r="K132">
            <v>291227</v>
          </cell>
        </row>
        <row r="133">
          <cell r="D133">
            <v>1</v>
          </cell>
          <cell r="J133">
            <v>2157235</v>
          </cell>
          <cell r="K133">
            <v>291227</v>
          </cell>
        </row>
        <row r="134">
          <cell r="D134">
            <v>1</v>
          </cell>
          <cell r="J134">
            <v>2157235</v>
          </cell>
          <cell r="K134">
            <v>291227</v>
          </cell>
        </row>
        <row r="135">
          <cell r="D135">
            <v>1</v>
          </cell>
          <cell r="J135">
            <v>2157235</v>
          </cell>
          <cell r="K135">
            <v>291227</v>
          </cell>
        </row>
        <row r="136">
          <cell r="D136">
            <v>1</v>
          </cell>
          <cell r="J136">
            <v>2157235</v>
          </cell>
          <cell r="K136">
            <v>291227</v>
          </cell>
        </row>
        <row r="137">
          <cell r="D137">
            <v>1</v>
          </cell>
          <cell r="J137">
            <v>2157235</v>
          </cell>
          <cell r="K137">
            <v>291227</v>
          </cell>
        </row>
        <row r="138">
          <cell r="D138">
            <v>1</v>
          </cell>
          <cell r="J138">
            <v>2157235</v>
          </cell>
          <cell r="K138">
            <v>291227</v>
          </cell>
        </row>
        <row r="139">
          <cell r="D139">
            <v>1</v>
          </cell>
          <cell r="J139">
            <v>3778931</v>
          </cell>
          <cell r="K139">
            <v>0</v>
          </cell>
        </row>
        <row r="140">
          <cell r="D140">
            <v>1</v>
          </cell>
          <cell r="J140">
            <v>3778931</v>
          </cell>
          <cell r="K140">
            <v>0</v>
          </cell>
        </row>
        <row r="141">
          <cell r="D141">
            <v>1</v>
          </cell>
          <cell r="J141">
            <v>3778931</v>
          </cell>
          <cell r="K141">
            <v>0</v>
          </cell>
        </row>
        <row r="142">
          <cell r="D142">
            <v>1</v>
          </cell>
          <cell r="J142">
            <v>3778931</v>
          </cell>
          <cell r="K142">
            <v>0</v>
          </cell>
        </row>
        <row r="143">
          <cell r="D143">
            <v>1</v>
          </cell>
          <cell r="J143">
            <v>3778931</v>
          </cell>
          <cell r="K143">
            <v>0</v>
          </cell>
        </row>
        <row r="144">
          <cell r="D144">
            <v>1</v>
          </cell>
          <cell r="J144">
            <v>3778931</v>
          </cell>
          <cell r="K144">
            <v>0</v>
          </cell>
        </row>
        <row r="145">
          <cell r="D145">
            <v>1</v>
          </cell>
          <cell r="J145">
            <v>3778931</v>
          </cell>
          <cell r="K145">
            <v>0</v>
          </cell>
        </row>
        <row r="146">
          <cell r="D146">
            <v>1</v>
          </cell>
          <cell r="J146">
            <v>3778931</v>
          </cell>
          <cell r="K146">
            <v>0</v>
          </cell>
        </row>
        <row r="147">
          <cell r="D147">
            <v>1</v>
          </cell>
          <cell r="J147">
            <v>7189742</v>
          </cell>
          <cell r="K147">
            <v>0</v>
          </cell>
        </row>
        <row r="148">
          <cell r="D148">
            <v>1</v>
          </cell>
          <cell r="J148">
            <v>7189742</v>
          </cell>
          <cell r="K148">
            <v>0</v>
          </cell>
        </row>
        <row r="149">
          <cell r="D149">
            <v>1</v>
          </cell>
          <cell r="J149">
            <v>7189742</v>
          </cell>
          <cell r="K149">
            <v>0</v>
          </cell>
        </row>
        <row r="150">
          <cell r="D150">
            <v>1</v>
          </cell>
          <cell r="J150">
            <v>7189742</v>
          </cell>
          <cell r="K150">
            <v>0</v>
          </cell>
        </row>
        <row r="151">
          <cell r="D151">
            <v>1</v>
          </cell>
          <cell r="J151">
            <v>7189742</v>
          </cell>
          <cell r="K151">
            <v>0</v>
          </cell>
        </row>
        <row r="152">
          <cell r="D152">
            <v>1</v>
          </cell>
          <cell r="J152">
            <v>7189742</v>
          </cell>
          <cell r="K152">
            <v>0</v>
          </cell>
        </row>
        <row r="153">
          <cell r="D153">
            <v>1</v>
          </cell>
          <cell r="J153">
            <v>7189742</v>
          </cell>
          <cell r="K153">
            <v>0</v>
          </cell>
        </row>
        <row r="154">
          <cell r="D154">
            <v>1</v>
          </cell>
          <cell r="J154">
            <v>7189742</v>
          </cell>
          <cell r="K154">
            <v>0</v>
          </cell>
        </row>
        <row r="155">
          <cell r="D155">
            <v>1</v>
          </cell>
          <cell r="J155">
            <v>2607487</v>
          </cell>
          <cell r="K155">
            <v>0</v>
          </cell>
        </row>
        <row r="156">
          <cell r="D156">
            <v>1</v>
          </cell>
          <cell r="J156">
            <v>2607487</v>
          </cell>
          <cell r="K156">
            <v>0</v>
          </cell>
        </row>
        <row r="157">
          <cell r="D157">
            <v>1</v>
          </cell>
          <cell r="J157">
            <v>2508520</v>
          </cell>
          <cell r="K157">
            <v>0</v>
          </cell>
        </row>
        <row r="158">
          <cell r="D158">
            <v>1</v>
          </cell>
          <cell r="J158">
            <v>2505893</v>
          </cell>
          <cell r="K158">
            <v>0</v>
          </cell>
        </row>
      </sheetData>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218"/>
  <sheetViews>
    <sheetView tabSelected="1" topLeftCell="L1" zoomScale="80" zoomScaleNormal="80" workbookViewId="0">
      <pane ySplit="7" topLeftCell="A167" activePane="bottomLeft" state="frozen"/>
      <selection pane="bottomLeft" activeCell="AA8" sqref="AA8"/>
    </sheetView>
  </sheetViews>
  <sheetFormatPr baseColWidth="10" defaultColWidth="11.42578125" defaultRowHeight="15.75"/>
  <cols>
    <col min="1" max="1" width="32.140625" style="11" customWidth="1"/>
    <col min="2" max="2" width="24.7109375" style="3" customWidth="1"/>
    <col min="3" max="3" width="20.7109375" style="3" customWidth="1"/>
    <col min="4" max="4" width="28.42578125" style="3" customWidth="1"/>
    <col min="5" max="5" width="24" style="3" customWidth="1"/>
    <col min="6" max="6" width="30.42578125" style="3" customWidth="1"/>
    <col min="7" max="7" width="24.42578125" style="3" customWidth="1"/>
    <col min="8" max="8" width="18.42578125" style="3" customWidth="1"/>
    <col min="9" max="9" width="20.28515625" style="3" customWidth="1"/>
    <col min="10" max="10" width="37.42578125" style="3" customWidth="1"/>
    <col min="11" max="11" width="15" style="3" customWidth="1"/>
    <col min="12" max="13" width="12.7109375" style="2" customWidth="1"/>
    <col min="14" max="14" width="38.42578125" style="2" hidden="1" customWidth="1"/>
    <col min="15" max="15" width="57.42578125" style="2" hidden="1" customWidth="1"/>
    <col min="16" max="16" width="38.140625" style="5" customWidth="1"/>
    <col min="17" max="18" width="15" style="3" customWidth="1"/>
    <col min="19" max="19" width="16.28515625" style="3" customWidth="1"/>
    <col min="20" max="20" width="16.7109375" style="3" customWidth="1"/>
    <col min="21" max="21" width="16.85546875" style="3" customWidth="1"/>
    <col min="22" max="22" width="18" style="3" customWidth="1"/>
    <col min="23" max="23" width="26" style="7" hidden="1" customWidth="1"/>
    <col min="24" max="24" width="21.42578125" style="3" hidden="1" customWidth="1"/>
    <col min="25" max="25" width="27.7109375" style="8" hidden="1" customWidth="1"/>
    <col min="26" max="26" width="28.140625" style="8" hidden="1" customWidth="1"/>
    <col min="27" max="30" width="25.42578125" style="8" customWidth="1"/>
    <col min="31" max="35" width="25.42578125" style="8" hidden="1" customWidth="1"/>
    <col min="36" max="36" width="25.42578125" style="8" customWidth="1"/>
    <col min="37" max="39" width="34.28515625" style="8" customWidth="1"/>
    <col min="40" max="44" width="43.85546875" style="8" customWidth="1"/>
    <col min="45" max="45" width="20" style="3" customWidth="1"/>
    <col min="46" max="46" width="20.140625" style="3" customWidth="1"/>
    <col min="47" max="47" width="30.28515625" style="2" customWidth="1"/>
    <col min="48" max="49" width="17.42578125" style="2" customWidth="1"/>
    <col min="50" max="50" width="21.140625" style="2" customWidth="1"/>
    <col min="51" max="51" width="16.7109375" style="2" customWidth="1"/>
    <col min="52" max="52" width="20.140625" style="2" customWidth="1"/>
    <col min="53" max="16384" width="11.42578125" style="2"/>
  </cols>
  <sheetData>
    <row r="1" spans="1:52" s="1" customFormat="1" ht="30.75" customHeight="1" thickTop="1" thickBot="1">
      <c r="A1" s="821"/>
      <c r="B1" s="807" t="s">
        <v>713</v>
      </c>
      <c r="C1" s="807"/>
      <c r="D1" s="807"/>
      <c r="E1" s="807"/>
      <c r="F1" s="807"/>
      <c r="G1" s="807"/>
      <c r="H1" s="807"/>
      <c r="I1" s="807"/>
      <c r="J1" s="807"/>
      <c r="K1" s="807"/>
      <c r="L1" s="807"/>
      <c r="M1" s="807"/>
      <c r="N1" s="807"/>
      <c r="O1" s="807"/>
      <c r="P1" s="807"/>
      <c r="Q1" s="807"/>
      <c r="R1" s="807"/>
      <c r="S1" s="807"/>
      <c r="T1" s="807"/>
      <c r="U1" s="807"/>
      <c r="V1" s="807"/>
      <c r="W1" s="807"/>
      <c r="X1" s="807"/>
      <c r="Y1" s="807"/>
      <c r="Z1" s="807"/>
      <c r="AA1" s="807"/>
      <c r="AB1" s="807"/>
      <c r="AC1" s="807"/>
      <c r="AD1" s="807"/>
      <c r="AE1" s="807"/>
      <c r="AF1" s="807"/>
      <c r="AG1" s="807"/>
      <c r="AH1" s="807"/>
      <c r="AI1" s="807"/>
      <c r="AJ1" s="807"/>
      <c r="AK1" s="807"/>
      <c r="AL1" s="807"/>
      <c r="AM1" s="807"/>
      <c r="AN1" s="807"/>
      <c r="AO1" s="807"/>
      <c r="AP1" s="807"/>
      <c r="AQ1" s="807"/>
      <c r="AR1" s="807"/>
      <c r="AS1" s="807"/>
      <c r="AT1" s="807"/>
      <c r="AU1" s="24"/>
      <c r="AV1" s="790" t="s">
        <v>34</v>
      </c>
      <c r="AW1" s="790"/>
      <c r="AX1" s="790"/>
      <c r="AY1" s="790"/>
      <c r="AZ1" s="791"/>
    </row>
    <row r="2" spans="1:52" s="1" customFormat="1" ht="27.95" customHeight="1" thickTop="1" thickBot="1">
      <c r="A2" s="822"/>
      <c r="B2" s="774" t="s">
        <v>0</v>
      </c>
      <c r="C2" s="774"/>
      <c r="D2" s="774"/>
      <c r="E2" s="774"/>
      <c r="F2" s="774"/>
      <c r="G2" s="774"/>
      <c r="H2" s="774"/>
      <c r="I2" s="774"/>
      <c r="J2" s="774"/>
      <c r="K2" s="774"/>
      <c r="L2" s="774"/>
      <c r="M2" s="774"/>
      <c r="N2" s="774"/>
      <c r="O2" s="774"/>
      <c r="P2" s="774"/>
      <c r="Q2" s="774"/>
      <c r="R2" s="774"/>
      <c r="S2" s="774"/>
      <c r="T2" s="774"/>
      <c r="U2" s="774"/>
      <c r="V2" s="774"/>
      <c r="W2" s="774"/>
      <c r="X2" s="774"/>
      <c r="Y2" s="774"/>
      <c r="Z2" s="774"/>
      <c r="AA2" s="774"/>
      <c r="AB2" s="774"/>
      <c r="AC2" s="774"/>
      <c r="AD2" s="774"/>
      <c r="AE2" s="774"/>
      <c r="AF2" s="774"/>
      <c r="AG2" s="774"/>
      <c r="AH2" s="774"/>
      <c r="AI2" s="774"/>
      <c r="AJ2" s="774"/>
      <c r="AK2" s="774"/>
      <c r="AL2" s="774"/>
      <c r="AM2" s="774"/>
      <c r="AN2" s="774"/>
      <c r="AO2" s="774"/>
      <c r="AP2" s="774"/>
      <c r="AQ2" s="774"/>
      <c r="AR2" s="774"/>
      <c r="AS2" s="774"/>
      <c r="AT2" s="774"/>
      <c r="AU2" s="24"/>
      <c r="AV2" s="294" t="s">
        <v>35</v>
      </c>
      <c r="AW2" s="22" t="s">
        <v>36</v>
      </c>
      <c r="AX2" s="18" t="s">
        <v>37</v>
      </c>
      <c r="AY2" s="18" t="s">
        <v>38</v>
      </c>
      <c r="AZ2" s="18" t="s">
        <v>29</v>
      </c>
    </row>
    <row r="3" spans="1:52" s="1" customFormat="1" ht="25.5" customHeight="1" thickTop="1" thickBot="1">
      <c r="A3" s="823"/>
      <c r="B3" s="828" t="s">
        <v>49</v>
      </c>
      <c r="C3" s="828"/>
      <c r="D3" s="828"/>
      <c r="E3" s="828"/>
      <c r="F3" s="828"/>
      <c r="G3" s="828"/>
      <c r="H3" s="828"/>
      <c r="I3" s="828"/>
      <c r="J3" s="828"/>
      <c r="K3" s="828"/>
      <c r="L3" s="828"/>
      <c r="M3" s="828"/>
      <c r="N3" s="828"/>
      <c r="O3" s="828"/>
      <c r="P3" s="828"/>
      <c r="Q3" s="828"/>
      <c r="R3" s="828"/>
      <c r="S3" s="828"/>
      <c r="T3" s="828"/>
      <c r="U3" s="828"/>
      <c r="V3" s="828"/>
      <c r="W3" s="828"/>
      <c r="X3" s="828"/>
      <c r="Y3" s="828"/>
      <c r="Z3" s="828"/>
      <c r="AA3" s="828"/>
      <c r="AB3" s="828"/>
      <c r="AC3" s="828"/>
      <c r="AD3" s="828"/>
      <c r="AE3" s="828"/>
      <c r="AF3" s="828"/>
      <c r="AG3" s="828"/>
      <c r="AH3" s="828"/>
      <c r="AI3" s="828"/>
      <c r="AJ3" s="828"/>
      <c r="AK3" s="828"/>
      <c r="AL3" s="828"/>
      <c r="AM3" s="828"/>
      <c r="AN3" s="828"/>
      <c r="AO3" s="828"/>
      <c r="AP3" s="828"/>
      <c r="AQ3" s="828"/>
      <c r="AR3" s="828"/>
      <c r="AS3" s="828"/>
      <c r="AT3" s="828"/>
      <c r="AU3" s="25"/>
      <c r="AV3" s="30"/>
      <c r="AW3" s="23"/>
      <c r="AX3" s="19"/>
      <c r="AY3" s="20"/>
      <c r="AZ3" s="21"/>
    </row>
    <row r="4" spans="1:52" s="218" customFormat="1" ht="27.95" customHeight="1" thickTop="1" thickBot="1">
      <c r="A4" s="775" t="s">
        <v>583</v>
      </c>
      <c r="B4" s="775"/>
      <c r="C4" s="775"/>
      <c r="D4" s="775"/>
      <c r="E4" s="775"/>
      <c r="F4" s="775"/>
      <c r="G4" s="775"/>
      <c r="H4" s="775"/>
      <c r="I4" s="775"/>
      <c r="J4" s="775"/>
      <c r="K4" s="775"/>
      <c r="L4" s="775"/>
      <c r="M4" s="775"/>
      <c r="N4" s="775"/>
      <c r="O4" s="775"/>
      <c r="P4" s="775"/>
      <c r="Q4" s="775"/>
      <c r="R4" s="775"/>
      <c r="S4" s="775"/>
      <c r="T4" s="775"/>
      <c r="U4" s="775"/>
      <c r="V4" s="775"/>
      <c r="W4" s="775"/>
      <c r="X4" s="775"/>
      <c r="Y4" s="775"/>
      <c r="Z4" s="775"/>
      <c r="AA4" s="775"/>
      <c r="AB4" s="775"/>
      <c r="AC4" s="775"/>
      <c r="AD4" s="775"/>
      <c r="AE4" s="775"/>
      <c r="AF4" s="775"/>
      <c r="AG4" s="775"/>
      <c r="AH4" s="775"/>
      <c r="AI4" s="775"/>
      <c r="AJ4" s="775"/>
      <c r="AK4" s="775"/>
      <c r="AL4" s="775"/>
      <c r="AM4" s="775"/>
      <c r="AN4" s="775"/>
      <c r="AO4" s="775"/>
      <c r="AP4" s="775"/>
      <c r="AQ4" s="775"/>
      <c r="AR4" s="775"/>
      <c r="AS4" s="775"/>
      <c r="AT4" s="775"/>
      <c r="AU4" s="25"/>
      <c r="AV4" s="30"/>
      <c r="AW4" s="23"/>
      <c r="AX4" s="19"/>
      <c r="AY4" s="20"/>
      <c r="AZ4" s="21"/>
    </row>
    <row r="5" spans="1:52" s="1" customFormat="1" ht="27.95" customHeight="1" thickTop="1" thickBot="1">
      <c r="A5" s="792"/>
      <c r="B5" s="792"/>
      <c r="C5" s="792"/>
      <c r="D5" s="792"/>
      <c r="E5" s="792"/>
      <c r="F5" s="792"/>
      <c r="G5" s="792"/>
      <c r="H5" s="792"/>
      <c r="I5" s="792"/>
      <c r="J5" s="792"/>
      <c r="K5" s="792"/>
      <c r="L5" s="792"/>
      <c r="M5" s="792"/>
      <c r="N5" s="792"/>
      <c r="O5" s="792"/>
      <c r="P5" s="792"/>
      <c r="Q5" s="792"/>
      <c r="R5" s="792"/>
      <c r="S5" s="792"/>
      <c r="T5" s="792"/>
      <c r="U5" s="792"/>
      <c r="V5" s="792"/>
      <c r="W5" s="792"/>
      <c r="X5" s="792"/>
      <c r="Y5" s="792"/>
      <c r="Z5" s="792"/>
      <c r="AA5" s="792"/>
      <c r="AB5" s="792"/>
      <c r="AC5" s="792"/>
      <c r="AD5" s="792"/>
      <c r="AE5" s="792"/>
      <c r="AF5" s="792"/>
      <c r="AG5" s="792"/>
      <c r="AH5" s="792"/>
      <c r="AI5" s="792"/>
      <c r="AJ5" s="792"/>
      <c r="AK5" s="792"/>
      <c r="AL5" s="792"/>
      <c r="AM5" s="792"/>
      <c r="AN5" s="792"/>
      <c r="AO5" s="792"/>
      <c r="AP5" s="792"/>
      <c r="AQ5" s="792"/>
      <c r="AR5" s="792"/>
      <c r="AS5" s="792"/>
      <c r="AT5" s="792"/>
      <c r="AU5" s="165"/>
      <c r="AV5" s="30"/>
      <c r="AW5" s="23"/>
      <c r="AX5" s="19"/>
      <c r="AY5" s="20"/>
      <c r="AZ5" s="21"/>
    </row>
    <row r="6" spans="1:52" ht="27.95" customHeight="1" thickBot="1">
      <c r="A6" s="794"/>
      <c r="B6" s="794"/>
      <c r="C6" s="794"/>
      <c r="D6" s="795"/>
      <c r="E6" s="796" t="s">
        <v>45</v>
      </c>
      <c r="F6" s="794"/>
      <c r="G6" s="794"/>
      <c r="H6" s="795"/>
      <c r="I6" s="31"/>
      <c r="J6" s="759" t="s">
        <v>311</v>
      </c>
      <c r="K6" s="759"/>
      <c r="L6" s="759"/>
      <c r="M6" s="759"/>
      <c r="N6" s="793" t="s">
        <v>44</v>
      </c>
      <c r="O6" s="793" t="s">
        <v>10</v>
      </c>
      <c r="P6" s="760" t="s">
        <v>1</v>
      </c>
      <c r="Q6" s="757" t="s">
        <v>2</v>
      </c>
      <c r="R6" s="757" t="s">
        <v>710</v>
      </c>
      <c r="S6" s="757" t="s">
        <v>3</v>
      </c>
      <c r="T6" s="757" t="s">
        <v>4</v>
      </c>
      <c r="U6" s="757" t="s">
        <v>5</v>
      </c>
      <c r="V6" s="757" t="s">
        <v>6</v>
      </c>
      <c r="W6" s="762" t="s">
        <v>7</v>
      </c>
      <c r="X6" s="762"/>
      <c r="Y6" s="762"/>
      <c r="Z6" s="762"/>
      <c r="AA6" s="804" t="s">
        <v>564</v>
      </c>
      <c r="AB6" s="805"/>
      <c r="AC6" s="805"/>
      <c r="AD6" s="805"/>
      <c r="AE6" s="805"/>
      <c r="AF6" s="805"/>
      <c r="AG6" s="806"/>
      <c r="AH6" s="289"/>
      <c r="AI6" s="289"/>
      <c r="AJ6" s="289"/>
      <c r="AK6" s="289"/>
      <c r="AL6" s="289"/>
      <c r="AM6" s="289"/>
      <c r="AN6" s="289"/>
      <c r="AO6" s="289"/>
      <c r="AP6" s="289"/>
      <c r="AQ6" s="289"/>
      <c r="AR6" s="289"/>
      <c r="AS6" s="763" t="s">
        <v>8</v>
      </c>
      <c r="AT6" s="755" t="s">
        <v>9</v>
      </c>
      <c r="AU6" s="166"/>
      <c r="AV6" s="22" t="s">
        <v>39</v>
      </c>
      <c r="AW6" s="17" t="s">
        <v>30</v>
      </c>
      <c r="AX6" s="18" t="s">
        <v>31</v>
      </c>
      <c r="AY6" s="18" t="s">
        <v>32</v>
      </c>
      <c r="AZ6" s="18" t="s">
        <v>33</v>
      </c>
    </row>
    <row r="7" spans="1:52" ht="68.25" customHeight="1" thickTop="1" thickBot="1">
      <c r="A7" s="6" t="s">
        <v>40</v>
      </c>
      <c r="B7" s="26" t="s">
        <v>312</v>
      </c>
      <c r="C7" s="26" t="s">
        <v>42</v>
      </c>
      <c r="D7" s="26" t="s">
        <v>43</v>
      </c>
      <c r="E7" s="26" t="s">
        <v>11</v>
      </c>
      <c r="F7" s="26" t="s">
        <v>52</v>
      </c>
      <c r="G7" s="26" t="s">
        <v>12</v>
      </c>
      <c r="H7" s="26" t="s">
        <v>711</v>
      </c>
      <c r="I7" s="26" t="s">
        <v>41</v>
      </c>
      <c r="J7" s="32" t="s">
        <v>46</v>
      </c>
      <c r="K7" s="26" t="s">
        <v>52</v>
      </c>
      <c r="L7" s="26" t="s">
        <v>12</v>
      </c>
      <c r="M7" s="26" t="s">
        <v>711</v>
      </c>
      <c r="N7" s="793"/>
      <c r="O7" s="793"/>
      <c r="P7" s="761"/>
      <c r="Q7" s="758"/>
      <c r="R7" s="758"/>
      <c r="S7" s="758"/>
      <c r="T7" s="758"/>
      <c r="U7" s="758"/>
      <c r="V7" s="758"/>
      <c r="W7" s="26" t="s">
        <v>13</v>
      </c>
      <c r="X7" s="26" t="s">
        <v>14</v>
      </c>
      <c r="Y7" s="4" t="s">
        <v>15</v>
      </c>
      <c r="Z7" s="4" t="s">
        <v>16</v>
      </c>
      <c r="AA7" s="4" t="s">
        <v>565</v>
      </c>
      <c r="AB7" s="4" t="s">
        <v>566</v>
      </c>
      <c r="AC7" s="4" t="s">
        <v>567</v>
      </c>
      <c r="AD7" s="4" t="s">
        <v>568</v>
      </c>
      <c r="AE7" s="4" t="s">
        <v>569</v>
      </c>
      <c r="AF7" s="4" t="s">
        <v>570</v>
      </c>
      <c r="AG7" s="4" t="s">
        <v>571</v>
      </c>
      <c r="AH7" s="293" t="s">
        <v>572</v>
      </c>
      <c r="AI7" s="293" t="s">
        <v>573</v>
      </c>
      <c r="AJ7" s="293" t="s">
        <v>574</v>
      </c>
      <c r="AK7" s="293" t="s">
        <v>575</v>
      </c>
      <c r="AL7" s="293" t="s">
        <v>576</v>
      </c>
      <c r="AM7" s="293" t="s">
        <v>577</v>
      </c>
      <c r="AN7" s="293" t="s">
        <v>578</v>
      </c>
      <c r="AO7" s="293" t="s">
        <v>579</v>
      </c>
      <c r="AP7" s="293" t="s">
        <v>580</v>
      </c>
      <c r="AQ7" s="293" t="s">
        <v>581</v>
      </c>
      <c r="AR7" s="293" t="s">
        <v>582</v>
      </c>
      <c r="AS7" s="764"/>
      <c r="AT7" s="756" t="s">
        <v>9</v>
      </c>
      <c r="AU7" s="166"/>
    </row>
    <row r="8" spans="1:52" s="1" customFormat="1" ht="131.25" customHeight="1" thickBot="1">
      <c r="A8" s="811" t="s">
        <v>49</v>
      </c>
      <c r="B8" s="808" t="s">
        <v>50</v>
      </c>
      <c r="C8" s="778" t="s">
        <v>219</v>
      </c>
      <c r="D8" s="797" t="s">
        <v>62</v>
      </c>
      <c r="E8" s="676" t="s">
        <v>59</v>
      </c>
      <c r="F8" s="676" t="s">
        <v>53</v>
      </c>
      <c r="G8" s="676" t="s">
        <v>51</v>
      </c>
      <c r="H8" s="676">
        <v>70</v>
      </c>
      <c r="I8" s="676" t="s">
        <v>54</v>
      </c>
      <c r="J8" s="34" t="s">
        <v>55</v>
      </c>
      <c r="K8" s="34" t="s">
        <v>17</v>
      </c>
      <c r="L8" s="35">
        <v>1</v>
      </c>
      <c r="M8" s="36">
        <v>1</v>
      </c>
      <c r="N8" s="745"/>
      <c r="O8" s="745" t="s">
        <v>61</v>
      </c>
      <c r="P8" s="528" t="s">
        <v>714</v>
      </c>
      <c r="Q8" s="529">
        <v>1</v>
      </c>
      <c r="R8" s="530" t="s">
        <v>17</v>
      </c>
      <c r="S8" s="530">
        <v>0</v>
      </c>
      <c r="T8" s="530">
        <v>0</v>
      </c>
      <c r="U8" s="530">
        <v>0</v>
      </c>
      <c r="V8" s="530">
        <v>1</v>
      </c>
      <c r="W8" s="676" t="s">
        <v>775</v>
      </c>
      <c r="X8" s="679"/>
      <c r="Y8" s="682">
        <f>98000000+98000000+84000000+237067097+56277977+74970000+60000</f>
        <v>648375074</v>
      </c>
      <c r="Z8" s="682">
        <f>+Y8</f>
        <v>648375074</v>
      </c>
      <c r="AA8" s="643"/>
      <c r="AB8" s="644"/>
      <c r="AC8" s="644"/>
      <c r="AD8" s="645"/>
      <c r="AE8" s="430"/>
      <c r="AF8" s="440"/>
      <c r="AG8" s="287"/>
      <c r="AH8" s="290"/>
      <c r="AI8" s="290"/>
      <c r="AJ8" s="290"/>
      <c r="AK8" s="290"/>
      <c r="AL8" s="290"/>
      <c r="AM8" s="290"/>
      <c r="AN8" s="290"/>
      <c r="AO8" s="290"/>
      <c r="AP8" s="290"/>
      <c r="AQ8" s="290"/>
      <c r="AR8" s="290"/>
      <c r="AS8" s="33" t="s">
        <v>25</v>
      </c>
      <c r="AT8" s="37" t="s">
        <v>25</v>
      </c>
      <c r="AU8" s="700" t="s">
        <v>347</v>
      </c>
    </row>
    <row r="9" spans="1:52" s="1" customFormat="1" ht="131.25" customHeight="1" thickBot="1">
      <c r="A9" s="812"/>
      <c r="B9" s="809"/>
      <c r="C9" s="777"/>
      <c r="D9" s="798"/>
      <c r="E9" s="685"/>
      <c r="F9" s="678"/>
      <c r="G9" s="678"/>
      <c r="H9" s="678"/>
      <c r="I9" s="677"/>
      <c r="J9" s="801" t="s">
        <v>56</v>
      </c>
      <c r="K9" s="676" t="s">
        <v>17</v>
      </c>
      <c r="L9" s="802">
        <v>1</v>
      </c>
      <c r="M9" s="770">
        <v>1</v>
      </c>
      <c r="N9" s="746"/>
      <c r="O9" s="746"/>
      <c r="P9" s="531" t="s">
        <v>715</v>
      </c>
      <c r="Q9" s="532">
        <v>1</v>
      </c>
      <c r="R9" s="533" t="s">
        <v>17</v>
      </c>
      <c r="S9" s="533">
        <v>0</v>
      </c>
      <c r="T9" s="533">
        <v>0</v>
      </c>
      <c r="U9" s="530">
        <v>1</v>
      </c>
      <c r="V9" s="533">
        <v>0</v>
      </c>
      <c r="W9" s="677"/>
      <c r="X9" s="680"/>
      <c r="Y9" s="683"/>
      <c r="Z9" s="683"/>
      <c r="AA9" s="643"/>
      <c r="AB9" s="644"/>
      <c r="AC9" s="644"/>
      <c r="AD9" s="645"/>
      <c r="AE9" s="430"/>
      <c r="AF9" s="440"/>
      <c r="AG9" s="287"/>
      <c r="AH9" s="290"/>
      <c r="AI9" s="290"/>
      <c r="AJ9" s="290"/>
      <c r="AK9" s="290"/>
      <c r="AL9" s="290"/>
      <c r="AM9" s="290"/>
      <c r="AN9" s="290"/>
      <c r="AO9" s="290"/>
      <c r="AP9" s="290"/>
      <c r="AQ9" s="290"/>
      <c r="AR9" s="290"/>
      <c r="AS9" s="33" t="s">
        <v>25</v>
      </c>
      <c r="AT9" s="37" t="s">
        <v>25</v>
      </c>
      <c r="AU9" s="701"/>
    </row>
    <row r="10" spans="1:52" s="1" customFormat="1" ht="90.75" customHeight="1" thickBot="1">
      <c r="A10" s="812"/>
      <c r="B10" s="809"/>
      <c r="C10" s="777"/>
      <c r="D10" s="798"/>
      <c r="E10" s="38" t="s">
        <v>60</v>
      </c>
      <c r="F10" s="33" t="s">
        <v>53</v>
      </c>
      <c r="G10" s="33" t="s">
        <v>51</v>
      </c>
      <c r="H10" s="33">
        <v>100</v>
      </c>
      <c r="I10" s="677"/>
      <c r="J10" s="685"/>
      <c r="K10" s="678"/>
      <c r="L10" s="803"/>
      <c r="M10" s="769"/>
      <c r="N10" s="746"/>
      <c r="O10" s="746"/>
      <c r="P10" s="534" t="s">
        <v>364</v>
      </c>
      <c r="Q10" s="535">
        <v>1</v>
      </c>
      <c r="R10" s="536" t="s">
        <v>17</v>
      </c>
      <c r="S10" s="536">
        <v>0</v>
      </c>
      <c r="T10" s="536">
        <v>0</v>
      </c>
      <c r="U10" s="530">
        <v>0</v>
      </c>
      <c r="V10" s="536">
        <v>1</v>
      </c>
      <c r="W10" s="677"/>
      <c r="X10" s="680"/>
      <c r="Y10" s="683"/>
      <c r="Z10" s="683"/>
      <c r="AA10" s="643"/>
      <c r="AB10" s="644"/>
      <c r="AC10" s="644"/>
      <c r="AD10" s="645"/>
      <c r="AE10" s="430"/>
      <c r="AF10" s="440"/>
      <c r="AG10" s="287"/>
      <c r="AH10" s="290"/>
      <c r="AI10" s="290"/>
      <c r="AJ10" s="290"/>
      <c r="AK10" s="290"/>
      <c r="AL10" s="290"/>
      <c r="AM10" s="290"/>
      <c r="AN10" s="290"/>
      <c r="AO10" s="290"/>
      <c r="AP10" s="290"/>
      <c r="AQ10" s="290"/>
      <c r="AR10" s="290"/>
      <c r="AS10" s="33" t="s">
        <v>25</v>
      </c>
      <c r="AT10" s="37" t="s">
        <v>25</v>
      </c>
      <c r="AU10" s="701"/>
    </row>
    <row r="11" spans="1:52" s="1" customFormat="1" ht="93.75" customHeight="1" thickBot="1">
      <c r="A11" s="812"/>
      <c r="B11" s="809"/>
      <c r="C11" s="800"/>
      <c r="D11" s="799"/>
      <c r="E11" s="45" t="s">
        <v>58</v>
      </c>
      <c r="F11" s="46" t="s">
        <v>53</v>
      </c>
      <c r="G11" s="46" t="s">
        <v>51</v>
      </c>
      <c r="H11" s="46">
        <v>60</v>
      </c>
      <c r="I11" s="678"/>
      <c r="J11" s="47" t="s">
        <v>57</v>
      </c>
      <c r="K11" s="48" t="s">
        <v>17</v>
      </c>
      <c r="L11" s="49">
        <v>0</v>
      </c>
      <c r="M11" s="50">
        <v>15</v>
      </c>
      <c r="N11" s="747"/>
      <c r="O11" s="747"/>
      <c r="P11" s="537" t="s">
        <v>361</v>
      </c>
      <c r="Q11" s="538">
        <v>7</v>
      </c>
      <c r="R11" s="536" t="s">
        <v>17</v>
      </c>
      <c r="S11" s="539">
        <v>0</v>
      </c>
      <c r="T11" s="539">
        <v>0</v>
      </c>
      <c r="U11" s="530">
        <v>0</v>
      </c>
      <c r="V11" s="539">
        <v>7</v>
      </c>
      <c r="W11" s="678"/>
      <c r="X11" s="681"/>
      <c r="Y11" s="684"/>
      <c r="Z11" s="684"/>
      <c r="AA11" s="643"/>
      <c r="AB11" s="644"/>
      <c r="AC11" s="644"/>
      <c r="AD11" s="645"/>
      <c r="AE11" s="430"/>
      <c r="AF11" s="440"/>
      <c r="AG11" s="287"/>
      <c r="AH11" s="290"/>
      <c r="AI11" s="290"/>
      <c r="AJ11" s="290"/>
      <c r="AK11" s="290"/>
      <c r="AL11" s="290"/>
      <c r="AM11" s="290"/>
      <c r="AN11" s="290"/>
      <c r="AO11" s="290"/>
      <c r="AP11" s="290"/>
      <c r="AQ11" s="290"/>
      <c r="AR11" s="290"/>
      <c r="AS11" s="33" t="s">
        <v>25</v>
      </c>
      <c r="AT11" s="37" t="s">
        <v>25</v>
      </c>
      <c r="AU11" s="702"/>
    </row>
    <row r="12" spans="1:52" s="218" customFormat="1" ht="93.75" customHeight="1" thickBot="1">
      <c r="A12" s="812"/>
      <c r="B12" s="809"/>
      <c r="C12" s="518"/>
      <c r="D12" s="520"/>
      <c r="E12" s="517"/>
      <c r="F12" s="515"/>
      <c r="G12" s="515"/>
      <c r="H12" s="515"/>
      <c r="I12" s="515"/>
      <c r="J12" s="47" t="s">
        <v>717</v>
      </c>
      <c r="K12" s="39" t="s">
        <v>18</v>
      </c>
      <c r="L12" s="50">
        <v>20</v>
      </c>
      <c r="M12" s="50">
        <v>90</v>
      </c>
      <c r="N12" s="516"/>
      <c r="O12" s="516"/>
      <c r="P12" s="540" t="s">
        <v>718</v>
      </c>
      <c r="Q12" s="541" t="s">
        <v>19</v>
      </c>
      <c r="R12" s="536">
        <v>7</v>
      </c>
      <c r="S12" s="542">
        <v>1</v>
      </c>
      <c r="T12" s="542">
        <v>2</v>
      </c>
      <c r="U12" s="530">
        <v>2</v>
      </c>
      <c r="V12" s="542">
        <v>2</v>
      </c>
      <c r="W12" s="211"/>
      <c r="X12" s="679"/>
      <c r="Y12" s="682">
        <f>66000000+48000000</f>
        <v>114000000</v>
      </c>
      <c r="Z12" s="682">
        <f>+Y12</f>
        <v>114000000</v>
      </c>
      <c r="AA12" s="643"/>
      <c r="AB12" s="644"/>
      <c r="AC12" s="644"/>
      <c r="AD12" s="645"/>
      <c r="AE12" s="519"/>
      <c r="AF12" s="519"/>
      <c r="AG12" s="519"/>
      <c r="AH12" s="290"/>
      <c r="AI12" s="290"/>
      <c r="AJ12" s="290"/>
      <c r="AK12" s="290"/>
      <c r="AL12" s="290"/>
      <c r="AM12" s="290"/>
      <c r="AN12" s="290"/>
      <c r="AO12" s="290"/>
      <c r="AP12" s="290"/>
      <c r="AQ12" s="290"/>
      <c r="AR12" s="290"/>
      <c r="AS12" s="512"/>
      <c r="AT12" s="521"/>
      <c r="AU12" s="513"/>
    </row>
    <row r="13" spans="1:52" s="1" customFormat="1" ht="115.5" customHeight="1" thickBot="1">
      <c r="A13" s="812"/>
      <c r="B13" s="809"/>
      <c r="C13" s="776" t="s">
        <v>324</v>
      </c>
      <c r="D13" s="777" t="s">
        <v>325</v>
      </c>
      <c r="E13" s="677" t="s">
        <v>326</v>
      </c>
      <c r="F13" s="677" t="s">
        <v>82</v>
      </c>
      <c r="G13" s="677">
        <v>1.45</v>
      </c>
      <c r="H13" s="677">
        <v>1.49</v>
      </c>
      <c r="I13" s="677" t="s">
        <v>327</v>
      </c>
      <c r="J13" s="39" t="s">
        <v>64</v>
      </c>
      <c r="K13" s="39" t="s">
        <v>18</v>
      </c>
      <c r="L13" s="40">
        <v>20</v>
      </c>
      <c r="M13" s="41">
        <v>90</v>
      </c>
      <c r="N13" s="746"/>
      <c r="O13" s="746" t="s">
        <v>328</v>
      </c>
      <c r="P13" s="543" t="s">
        <v>719</v>
      </c>
      <c r="Q13" s="535" t="s">
        <v>19</v>
      </c>
      <c r="R13" s="536">
        <v>7</v>
      </c>
      <c r="S13" s="536">
        <v>1</v>
      </c>
      <c r="T13" s="536">
        <v>2</v>
      </c>
      <c r="U13" s="530">
        <v>2</v>
      </c>
      <c r="V13" s="536">
        <v>2</v>
      </c>
      <c r="W13" s="179"/>
      <c r="X13" s="680"/>
      <c r="Y13" s="683"/>
      <c r="Z13" s="683"/>
      <c r="AA13" s="642"/>
      <c r="AB13" s="646"/>
      <c r="AC13" s="646"/>
      <c r="AD13" s="645"/>
      <c r="AE13" s="430"/>
      <c r="AF13" s="440"/>
      <c r="AG13" s="287"/>
      <c r="AH13" s="287"/>
      <c r="AI13" s="287"/>
      <c r="AJ13" s="287"/>
      <c r="AK13" s="287"/>
      <c r="AL13" s="287"/>
      <c r="AM13" s="287"/>
      <c r="AN13" s="287"/>
      <c r="AO13" s="287"/>
      <c r="AP13" s="287"/>
      <c r="AQ13" s="287"/>
      <c r="AR13" s="287"/>
      <c r="AS13" s="43" t="s">
        <v>21</v>
      </c>
      <c r="AT13" s="43" t="s">
        <v>21</v>
      </c>
      <c r="AU13" s="700" t="s">
        <v>355</v>
      </c>
    </row>
    <row r="14" spans="1:52" s="1" customFormat="1" ht="113.25" customHeight="1" thickBot="1">
      <c r="A14" s="812"/>
      <c r="B14" s="809"/>
      <c r="C14" s="776"/>
      <c r="D14" s="777"/>
      <c r="E14" s="677"/>
      <c r="F14" s="677"/>
      <c r="G14" s="677"/>
      <c r="H14" s="677"/>
      <c r="I14" s="677"/>
      <c r="J14" s="39" t="s">
        <v>65</v>
      </c>
      <c r="K14" s="39" t="s">
        <v>18</v>
      </c>
      <c r="L14" s="40">
        <v>20</v>
      </c>
      <c r="M14" s="41">
        <v>90</v>
      </c>
      <c r="N14" s="746"/>
      <c r="O14" s="746"/>
      <c r="P14" s="544" t="s">
        <v>720</v>
      </c>
      <c r="Q14" s="535" t="s">
        <v>17</v>
      </c>
      <c r="R14" s="536">
        <v>7</v>
      </c>
      <c r="S14" s="536">
        <v>1</v>
      </c>
      <c r="T14" s="536">
        <v>2</v>
      </c>
      <c r="U14" s="530">
        <v>3</v>
      </c>
      <c r="V14" s="536">
        <v>1</v>
      </c>
      <c r="W14" s="677" t="s">
        <v>776</v>
      </c>
      <c r="X14" s="680"/>
      <c r="Y14" s="683"/>
      <c r="Z14" s="683"/>
      <c r="AA14" s="642"/>
      <c r="AB14" s="646"/>
      <c r="AC14" s="646"/>
      <c r="AD14" s="645"/>
      <c r="AE14" s="430"/>
      <c r="AF14" s="440"/>
      <c r="AG14" s="287"/>
      <c r="AH14" s="287"/>
      <c r="AI14" s="287"/>
      <c r="AJ14" s="287"/>
      <c r="AK14" s="287"/>
      <c r="AL14" s="287"/>
      <c r="AM14" s="287"/>
      <c r="AN14" s="287"/>
      <c r="AO14" s="287"/>
      <c r="AP14" s="287"/>
      <c r="AQ14" s="287"/>
      <c r="AR14" s="287"/>
      <c r="AS14" s="43" t="s">
        <v>21</v>
      </c>
      <c r="AT14" s="43" t="s">
        <v>21</v>
      </c>
      <c r="AU14" s="701"/>
    </row>
    <row r="15" spans="1:52" s="1" customFormat="1" ht="123" customHeight="1" thickBot="1">
      <c r="A15" s="812"/>
      <c r="B15" s="809"/>
      <c r="C15" s="776"/>
      <c r="D15" s="777"/>
      <c r="E15" s="677"/>
      <c r="F15" s="677" t="s">
        <v>63</v>
      </c>
      <c r="G15" s="677"/>
      <c r="H15" s="677"/>
      <c r="I15" s="677"/>
      <c r="J15" s="39" t="s">
        <v>66</v>
      </c>
      <c r="K15" s="39" t="s">
        <v>18</v>
      </c>
      <c r="L15" s="40">
        <v>100</v>
      </c>
      <c r="M15" s="41">
        <v>100</v>
      </c>
      <c r="N15" s="746"/>
      <c r="O15" s="746"/>
      <c r="P15" s="545" t="s">
        <v>394</v>
      </c>
      <c r="Q15" s="535" t="s">
        <v>19</v>
      </c>
      <c r="R15" s="536">
        <v>1</v>
      </c>
      <c r="S15" s="536">
        <v>0</v>
      </c>
      <c r="T15" s="536">
        <v>0</v>
      </c>
      <c r="U15" s="530">
        <v>0</v>
      </c>
      <c r="V15" s="536">
        <v>1</v>
      </c>
      <c r="W15" s="677"/>
      <c r="X15" s="680"/>
      <c r="Y15" s="683"/>
      <c r="Z15" s="683"/>
      <c r="AA15" s="642"/>
      <c r="AB15" s="646"/>
      <c r="AC15" s="646"/>
      <c r="AD15" s="645"/>
      <c r="AE15" s="430"/>
      <c r="AF15" s="440"/>
      <c r="AG15" s="287"/>
      <c r="AH15" s="287"/>
      <c r="AI15" s="287"/>
      <c r="AJ15" s="287"/>
      <c r="AK15" s="287"/>
      <c r="AL15" s="287"/>
      <c r="AM15" s="287"/>
      <c r="AN15" s="287"/>
      <c r="AO15" s="287"/>
      <c r="AP15" s="287"/>
      <c r="AQ15" s="287"/>
      <c r="AR15" s="287"/>
      <c r="AS15" s="43" t="s">
        <v>21</v>
      </c>
      <c r="AT15" s="43" t="s">
        <v>21</v>
      </c>
      <c r="AU15" s="701"/>
    </row>
    <row r="16" spans="1:52" s="1" customFormat="1" ht="123" customHeight="1" thickBot="1">
      <c r="A16" s="812"/>
      <c r="B16" s="809"/>
      <c r="C16" s="776"/>
      <c r="D16" s="777"/>
      <c r="E16" s="677"/>
      <c r="F16" s="677"/>
      <c r="G16" s="677"/>
      <c r="H16" s="677"/>
      <c r="I16" s="677"/>
      <c r="J16" s="47" t="s">
        <v>67</v>
      </c>
      <c r="K16" s="47" t="s">
        <v>68</v>
      </c>
      <c r="L16" s="50" t="s">
        <v>51</v>
      </c>
      <c r="M16" s="50">
        <v>1</v>
      </c>
      <c r="N16" s="746"/>
      <c r="O16" s="746"/>
      <c r="P16" s="546" t="s">
        <v>395</v>
      </c>
      <c r="Q16" s="541">
        <v>1</v>
      </c>
      <c r="R16" s="536" t="s">
        <v>259</v>
      </c>
      <c r="S16" s="542">
        <v>1</v>
      </c>
      <c r="T16" s="542">
        <v>0</v>
      </c>
      <c r="U16" s="530">
        <v>0</v>
      </c>
      <c r="V16" s="542">
        <v>0</v>
      </c>
      <c r="W16" s="678"/>
      <c r="X16" s="681"/>
      <c r="Y16" s="684"/>
      <c r="Z16" s="684"/>
      <c r="AA16" s="642"/>
      <c r="AB16" s="646"/>
      <c r="AC16" s="646"/>
      <c r="AD16" s="645"/>
      <c r="AE16" s="430"/>
      <c r="AF16" s="440"/>
      <c r="AG16" s="287"/>
      <c r="AH16" s="287"/>
      <c r="AI16" s="287"/>
      <c r="AJ16" s="287"/>
      <c r="AK16" s="287"/>
      <c r="AL16" s="287"/>
      <c r="AM16" s="287"/>
      <c r="AN16" s="287"/>
      <c r="AO16" s="287"/>
      <c r="AP16" s="287"/>
      <c r="AQ16" s="287"/>
      <c r="AR16" s="287"/>
      <c r="AS16" s="43" t="s">
        <v>21</v>
      </c>
      <c r="AT16" s="43" t="s">
        <v>21</v>
      </c>
      <c r="AU16" s="701"/>
    </row>
    <row r="17" spans="1:47" s="1" customFormat="1" ht="115.5" customHeight="1" thickBot="1">
      <c r="A17" s="812"/>
      <c r="B17" s="809"/>
      <c r="C17" s="778" t="s">
        <v>220</v>
      </c>
      <c r="D17" s="676" t="s">
        <v>69</v>
      </c>
      <c r="E17" s="211" t="s">
        <v>70</v>
      </c>
      <c r="F17" s="676" t="s">
        <v>53</v>
      </c>
      <c r="G17" s="676">
        <v>95</v>
      </c>
      <c r="H17" s="676">
        <v>95</v>
      </c>
      <c r="I17" s="676" t="s">
        <v>71</v>
      </c>
      <c r="J17" s="676" t="s">
        <v>72</v>
      </c>
      <c r="K17" s="676" t="s">
        <v>17</v>
      </c>
      <c r="L17" s="745" t="s">
        <v>51</v>
      </c>
      <c r="M17" s="745">
        <v>4</v>
      </c>
      <c r="N17" s="770"/>
      <c r="O17" s="801" t="s">
        <v>93</v>
      </c>
      <c r="P17" s="528" t="s">
        <v>716</v>
      </c>
      <c r="Q17" s="530">
        <v>4</v>
      </c>
      <c r="R17" s="530" t="s">
        <v>17</v>
      </c>
      <c r="S17" s="530">
        <v>1</v>
      </c>
      <c r="T17" s="530">
        <v>1</v>
      </c>
      <c r="U17" s="530">
        <v>1</v>
      </c>
      <c r="V17" s="530">
        <v>1</v>
      </c>
      <c r="W17" s="676" t="s">
        <v>776</v>
      </c>
      <c r="X17" s="676"/>
      <c r="Y17" s="682">
        <f>48000000+66000000</f>
        <v>114000000</v>
      </c>
      <c r="Z17" s="682">
        <f>+Y17</f>
        <v>114000000</v>
      </c>
      <c r="AA17" s="642"/>
      <c r="AB17" s="644"/>
      <c r="AC17" s="644"/>
      <c r="AD17" s="645"/>
      <c r="AE17" s="430"/>
      <c r="AF17" s="440"/>
      <c r="AG17" s="287"/>
      <c r="AH17" s="261"/>
      <c r="AI17" s="261"/>
      <c r="AJ17" s="261"/>
      <c r="AK17" s="261"/>
      <c r="AL17" s="261"/>
      <c r="AM17" s="261"/>
      <c r="AN17" s="261"/>
      <c r="AO17" s="261"/>
      <c r="AP17" s="261"/>
      <c r="AQ17" s="261"/>
      <c r="AR17" s="261"/>
      <c r="AS17" s="676" t="s">
        <v>28</v>
      </c>
      <c r="AT17" s="676" t="s">
        <v>28</v>
      </c>
      <c r="AU17" s="700" t="s">
        <v>356</v>
      </c>
    </row>
    <row r="18" spans="1:47" s="1" customFormat="1" ht="115.5" customHeight="1" thickBot="1">
      <c r="A18" s="812"/>
      <c r="B18" s="809"/>
      <c r="C18" s="777"/>
      <c r="D18" s="677"/>
      <c r="E18" s="179"/>
      <c r="F18" s="677"/>
      <c r="G18" s="677"/>
      <c r="H18" s="677"/>
      <c r="I18" s="677"/>
      <c r="J18" s="685"/>
      <c r="K18" s="685"/>
      <c r="L18" s="769"/>
      <c r="M18" s="769"/>
      <c r="N18" s="769"/>
      <c r="O18" s="685"/>
      <c r="P18" s="547" t="s">
        <v>359</v>
      </c>
      <c r="Q18" s="536">
        <v>4</v>
      </c>
      <c r="R18" s="536" t="s">
        <v>17</v>
      </c>
      <c r="S18" s="548">
        <v>1</v>
      </c>
      <c r="T18" s="548">
        <v>1</v>
      </c>
      <c r="U18" s="530">
        <v>1</v>
      </c>
      <c r="V18" s="548">
        <v>1</v>
      </c>
      <c r="W18" s="677"/>
      <c r="X18" s="677"/>
      <c r="Y18" s="683"/>
      <c r="Z18" s="683"/>
      <c r="AA18" s="642"/>
      <c r="AB18" s="644"/>
      <c r="AC18" s="644"/>
      <c r="AD18" s="645"/>
      <c r="AE18" s="430"/>
      <c r="AF18" s="440"/>
      <c r="AG18" s="287"/>
      <c r="AH18" s="290"/>
      <c r="AI18" s="290"/>
      <c r="AJ18" s="290"/>
      <c r="AK18" s="290"/>
      <c r="AL18" s="290"/>
      <c r="AM18" s="290"/>
      <c r="AN18" s="290"/>
      <c r="AO18" s="290"/>
      <c r="AP18" s="290"/>
      <c r="AQ18" s="290"/>
      <c r="AR18" s="290"/>
      <c r="AS18" s="685"/>
      <c r="AT18" s="678"/>
      <c r="AU18" s="701"/>
    </row>
    <row r="19" spans="1:47" s="1" customFormat="1" ht="135.75" customHeight="1" thickBot="1">
      <c r="A19" s="813"/>
      <c r="B19" s="810"/>
      <c r="C19" s="777"/>
      <c r="D19" s="677"/>
      <c r="E19" s="179"/>
      <c r="F19" s="677"/>
      <c r="G19" s="677"/>
      <c r="H19" s="677"/>
      <c r="I19" s="677"/>
      <c r="J19" s="52" t="s">
        <v>73</v>
      </c>
      <c r="K19" s="52" t="s">
        <v>18</v>
      </c>
      <c r="L19" s="53">
        <v>100</v>
      </c>
      <c r="M19" s="53">
        <v>100</v>
      </c>
      <c r="N19" s="54"/>
      <c r="O19" s="52" t="s">
        <v>94</v>
      </c>
      <c r="P19" s="540" t="s">
        <v>731</v>
      </c>
      <c r="Q19" s="536">
        <v>4</v>
      </c>
      <c r="R19" s="536" t="s">
        <v>17</v>
      </c>
      <c r="S19" s="542">
        <v>1</v>
      </c>
      <c r="T19" s="542">
        <v>1</v>
      </c>
      <c r="U19" s="530">
        <v>1</v>
      </c>
      <c r="V19" s="542">
        <v>1</v>
      </c>
      <c r="W19" s="677"/>
      <c r="X19" s="677"/>
      <c r="Y19" s="683"/>
      <c r="Z19" s="683"/>
      <c r="AA19" s="647"/>
      <c r="AB19" s="644"/>
      <c r="AC19" s="644"/>
      <c r="AD19" s="645"/>
      <c r="AE19" s="430"/>
      <c r="AF19" s="440"/>
      <c r="AG19" s="287"/>
      <c r="AH19" s="261"/>
      <c r="AI19" s="261"/>
      <c r="AJ19" s="261"/>
      <c r="AK19" s="261"/>
      <c r="AL19" s="261"/>
      <c r="AM19" s="261"/>
      <c r="AN19" s="261"/>
      <c r="AO19" s="261"/>
      <c r="AP19" s="261"/>
      <c r="AQ19" s="261"/>
      <c r="AR19" s="261"/>
      <c r="AS19" s="676" t="s">
        <v>28</v>
      </c>
      <c r="AT19" s="676" t="s">
        <v>28</v>
      </c>
      <c r="AU19" s="702"/>
    </row>
    <row r="20" spans="1:47" s="1" customFormat="1" ht="135.75" customHeight="1" thickBot="1">
      <c r="A20" s="175"/>
      <c r="B20" s="180"/>
      <c r="C20" s="173"/>
      <c r="D20" s="678"/>
      <c r="E20" s="202"/>
      <c r="F20" s="172"/>
      <c r="G20" s="172"/>
      <c r="H20" s="172">
        <v>0</v>
      </c>
      <c r="I20" s="172"/>
      <c r="J20" s="179"/>
      <c r="K20" s="179"/>
      <c r="L20" s="174"/>
      <c r="M20" s="174"/>
      <c r="N20" s="181"/>
      <c r="O20" s="179"/>
      <c r="P20" s="534" t="s">
        <v>360</v>
      </c>
      <c r="Q20" s="536">
        <v>4</v>
      </c>
      <c r="R20" s="536" t="s">
        <v>19</v>
      </c>
      <c r="S20" s="536">
        <v>1</v>
      </c>
      <c r="T20" s="536">
        <v>1</v>
      </c>
      <c r="U20" s="530">
        <v>1</v>
      </c>
      <c r="V20" s="536">
        <v>1</v>
      </c>
      <c r="W20" s="685"/>
      <c r="X20" s="685"/>
      <c r="Y20" s="684"/>
      <c r="Z20" s="684"/>
      <c r="AA20" s="642"/>
      <c r="AB20" s="644"/>
      <c r="AC20" s="644"/>
      <c r="AD20" s="645"/>
      <c r="AE20" s="430"/>
      <c r="AF20" s="440"/>
      <c r="AG20" s="287"/>
      <c r="AH20" s="290"/>
      <c r="AI20" s="290"/>
      <c r="AJ20" s="290"/>
      <c r="AK20" s="290"/>
      <c r="AL20" s="290"/>
      <c r="AM20" s="290"/>
      <c r="AN20" s="290"/>
      <c r="AO20" s="290"/>
      <c r="AP20" s="290"/>
      <c r="AQ20" s="290"/>
      <c r="AR20" s="290"/>
      <c r="AS20" s="685"/>
      <c r="AT20" s="678"/>
      <c r="AU20" s="170"/>
    </row>
    <row r="21" spans="1:47" s="1" customFormat="1" ht="120.75" customHeight="1">
      <c r="A21" s="779" t="s">
        <v>74</v>
      </c>
      <c r="B21" s="785" t="s">
        <v>75</v>
      </c>
      <c r="C21" s="782" t="s">
        <v>221</v>
      </c>
      <c r="D21" s="733" t="s">
        <v>76</v>
      </c>
      <c r="E21" s="733" t="s">
        <v>77</v>
      </c>
      <c r="F21" s="733" t="s">
        <v>53</v>
      </c>
      <c r="G21" s="733">
        <v>34.4</v>
      </c>
      <c r="H21" s="733">
        <v>20</v>
      </c>
      <c r="I21" s="733" t="s">
        <v>83</v>
      </c>
      <c r="J21" s="733" t="s">
        <v>84</v>
      </c>
      <c r="K21" s="733" t="s">
        <v>18</v>
      </c>
      <c r="L21" s="748">
        <v>83</v>
      </c>
      <c r="M21" s="750">
        <v>85</v>
      </c>
      <c r="N21" s="750"/>
      <c r="O21" s="750" t="s">
        <v>95</v>
      </c>
      <c r="P21" s="549" t="s">
        <v>468</v>
      </c>
      <c r="Q21" s="533" t="s">
        <v>358</v>
      </c>
      <c r="R21" s="533">
        <v>80</v>
      </c>
      <c r="S21" s="552">
        <v>80</v>
      </c>
      <c r="T21" s="552">
        <v>80</v>
      </c>
      <c r="U21" s="552">
        <v>80</v>
      </c>
      <c r="V21" s="552">
        <v>80</v>
      </c>
      <c r="W21" s="729" t="s">
        <v>777</v>
      </c>
      <c r="X21" s="729"/>
      <c r="Y21" s="717">
        <f>63000000+63000000+60000000+63000000+60000000+40800000+428400+100000000+79380000+48000000+48000000+53119677+108672245+40114580+42018008+46081013+46018008+40114580+48320659+2086393776</f>
        <v>3136460946</v>
      </c>
      <c r="Z21" s="820">
        <f>+Y21</f>
        <v>3136460946</v>
      </c>
      <c r="AA21" s="648"/>
      <c r="AB21" s="648"/>
      <c r="AC21" s="648"/>
      <c r="AD21" s="80"/>
      <c r="AE21" s="433"/>
      <c r="AF21" s="60"/>
      <c r="AG21" s="60"/>
      <c r="AH21" s="60"/>
      <c r="AI21" s="60"/>
      <c r="AJ21" s="60"/>
      <c r="AK21" s="60"/>
      <c r="AL21" s="60"/>
      <c r="AM21" s="60"/>
      <c r="AN21" s="60"/>
      <c r="AO21" s="60"/>
      <c r="AP21" s="60"/>
      <c r="AQ21" s="60"/>
      <c r="AR21" s="60"/>
      <c r="AS21" s="171" t="s">
        <v>22</v>
      </c>
      <c r="AT21" s="186" t="s">
        <v>22</v>
      </c>
      <c r="AU21" s="700" t="s">
        <v>336</v>
      </c>
    </row>
    <row r="22" spans="1:47" s="218" customFormat="1" ht="120.75" customHeight="1">
      <c r="A22" s="780"/>
      <c r="B22" s="693"/>
      <c r="C22" s="783"/>
      <c r="D22" s="734"/>
      <c r="E22" s="734"/>
      <c r="F22" s="734"/>
      <c r="G22" s="734"/>
      <c r="H22" s="734"/>
      <c r="I22" s="734"/>
      <c r="J22" s="734"/>
      <c r="K22" s="734"/>
      <c r="L22" s="749"/>
      <c r="M22" s="690"/>
      <c r="N22" s="690"/>
      <c r="O22" s="690"/>
      <c r="P22" s="545" t="s">
        <v>658</v>
      </c>
      <c r="Q22" s="536" t="s">
        <v>358</v>
      </c>
      <c r="R22" s="536">
        <v>85</v>
      </c>
      <c r="S22" s="536">
        <v>85</v>
      </c>
      <c r="T22" s="536">
        <v>85</v>
      </c>
      <c r="U22" s="536">
        <v>85</v>
      </c>
      <c r="V22" s="536">
        <v>85</v>
      </c>
      <c r="W22" s="730"/>
      <c r="X22" s="730"/>
      <c r="Y22" s="671"/>
      <c r="Z22" s="730"/>
      <c r="AA22" s="648"/>
      <c r="AB22" s="648"/>
      <c r="AC22" s="648"/>
      <c r="AD22" s="80"/>
      <c r="AE22" s="433"/>
      <c r="AF22" s="432"/>
      <c r="AG22" s="432"/>
      <c r="AH22" s="432"/>
      <c r="AI22" s="432"/>
      <c r="AJ22" s="432"/>
      <c r="AK22" s="432"/>
      <c r="AL22" s="432"/>
      <c r="AM22" s="432"/>
      <c r="AN22" s="432"/>
      <c r="AO22" s="432"/>
      <c r="AP22" s="432"/>
      <c r="AQ22" s="432"/>
      <c r="AR22" s="432"/>
      <c r="AS22" s="431"/>
      <c r="AT22" s="431"/>
      <c r="AU22" s="701"/>
    </row>
    <row r="23" spans="1:47" s="218" customFormat="1" ht="120.75" customHeight="1">
      <c r="A23" s="780"/>
      <c r="B23" s="693"/>
      <c r="C23" s="783"/>
      <c r="D23" s="734"/>
      <c r="E23" s="734"/>
      <c r="F23" s="734"/>
      <c r="G23" s="734"/>
      <c r="H23" s="734"/>
      <c r="I23" s="734"/>
      <c r="J23" s="734"/>
      <c r="K23" s="734"/>
      <c r="L23" s="749"/>
      <c r="M23" s="690"/>
      <c r="N23" s="690"/>
      <c r="O23" s="690"/>
      <c r="P23" s="545" t="s">
        <v>768</v>
      </c>
      <c r="Q23" s="536" t="s">
        <v>358</v>
      </c>
      <c r="R23" s="536">
        <v>70</v>
      </c>
      <c r="S23" s="536">
        <v>70</v>
      </c>
      <c r="T23" s="536">
        <v>70</v>
      </c>
      <c r="U23" s="536">
        <v>70</v>
      </c>
      <c r="V23" s="536">
        <v>70</v>
      </c>
      <c r="W23" s="730"/>
      <c r="X23" s="730"/>
      <c r="Y23" s="671"/>
      <c r="Z23" s="730"/>
      <c r="AA23" s="648"/>
      <c r="AB23" s="648"/>
      <c r="AC23" s="648"/>
      <c r="AD23" s="80"/>
      <c r="AE23" s="432"/>
      <c r="AF23" s="432"/>
      <c r="AG23" s="432"/>
      <c r="AH23" s="432"/>
      <c r="AI23" s="432"/>
      <c r="AJ23" s="432"/>
      <c r="AK23" s="432"/>
      <c r="AL23" s="432"/>
      <c r="AM23" s="432"/>
      <c r="AN23" s="432"/>
      <c r="AO23" s="432"/>
      <c r="AP23" s="432"/>
      <c r="AQ23" s="432"/>
      <c r="AR23" s="432"/>
      <c r="AS23" s="431"/>
      <c r="AT23" s="431"/>
      <c r="AU23" s="701"/>
    </row>
    <row r="24" spans="1:47" s="1" customFormat="1" ht="120.75" customHeight="1">
      <c r="A24" s="780"/>
      <c r="B24" s="693"/>
      <c r="C24" s="783"/>
      <c r="D24" s="734"/>
      <c r="E24" s="698" t="s">
        <v>78</v>
      </c>
      <c r="F24" s="698" t="s">
        <v>82</v>
      </c>
      <c r="G24" s="698">
        <v>0</v>
      </c>
      <c r="H24" s="698">
        <v>0</v>
      </c>
      <c r="I24" s="734"/>
      <c r="J24" s="698" t="s">
        <v>85</v>
      </c>
      <c r="K24" s="698" t="s">
        <v>86</v>
      </c>
      <c r="L24" s="689">
        <v>69.7</v>
      </c>
      <c r="M24" s="689">
        <v>69.7</v>
      </c>
      <c r="N24" s="689"/>
      <c r="O24" s="689" t="s">
        <v>96</v>
      </c>
      <c r="P24" s="545" t="s">
        <v>470</v>
      </c>
      <c r="Q24" s="536" t="s">
        <v>19</v>
      </c>
      <c r="R24" s="536">
        <v>580</v>
      </c>
      <c r="S24" s="536">
        <v>145</v>
      </c>
      <c r="T24" s="536">
        <v>145</v>
      </c>
      <c r="U24" s="536">
        <v>145</v>
      </c>
      <c r="V24" s="536">
        <v>145</v>
      </c>
      <c r="W24" s="730"/>
      <c r="X24" s="730"/>
      <c r="Y24" s="671"/>
      <c r="Z24" s="730"/>
      <c r="AA24" s="649"/>
      <c r="AB24" s="649"/>
      <c r="AC24" s="650"/>
      <c r="AD24" s="80"/>
      <c r="AE24" s="433"/>
      <c r="AF24" s="60"/>
      <c r="AG24" s="60"/>
      <c r="AH24" s="60"/>
      <c r="AI24" s="60"/>
      <c r="AJ24" s="60"/>
      <c r="AK24" s="60"/>
      <c r="AL24" s="60"/>
      <c r="AM24" s="60"/>
      <c r="AN24" s="60"/>
      <c r="AO24" s="60"/>
      <c r="AP24" s="60"/>
      <c r="AQ24" s="60"/>
      <c r="AR24" s="60"/>
      <c r="AS24" s="186"/>
      <c r="AT24" s="186"/>
      <c r="AU24" s="701"/>
    </row>
    <row r="25" spans="1:47" s="1" customFormat="1" ht="107.25" customHeight="1">
      <c r="A25" s="780"/>
      <c r="B25" s="693"/>
      <c r="C25" s="783"/>
      <c r="D25" s="734"/>
      <c r="E25" s="699"/>
      <c r="F25" s="699"/>
      <c r="G25" s="699"/>
      <c r="H25" s="699"/>
      <c r="I25" s="734"/>
      <c r="J25" s="699"/>
      <c r="K25" s="699"/>
      <c r="L25" s="691"/>
      <c r="M25" s="691"/>
      <c r="N25" s="691"/>
      <c r="O25" s="691"/>
      <c r="P25" s="536" t="s">
        <v>471</v>
      </c>
      <c r="Q25" s="536" t="s">
        <v>19</v>
      </c>
      <c r="R25" s="536">
        <v>12</v>
      </c>
      <c r="S25" s="536">
        <v>3</v>
      </c>
      <c r="T25" s="536">
        <v>3</v>
      </c>
      <c r="U25" s="550">
        <v>3</v>
      </c>
      <c r="V25" s="536">
        <v>3</v>
      </c>
      <c r="W25" s="730"/>
      <c r="X25" s="730"/>
      <c r="Y25" s="671"/>
      <c r="Z25" s="730"/>
      <c r="AA25" s="649"/>
      <c r="AB25" s="649"/>
      <c r="AC25" s="650"/>
      <c r="AD25" s="80"/>
      <c r="AE25" s="433"/>
      <c r="AF25" s="60"/>
      <c r="AG25" s="60"/>
      <c r="AH25" s="60"/>
      <c r="AI25" s="60"/>
      <c r="AJ25" s="60"/>
      <c r="AK25" s="60"/>
      <c r="AL25" s="60"/>
      <c r="AM25" s="60"/>
      <c r="AN25" s="60"/>
      <c r="AO25" s="60"/>
      <c r="AP25" s="60"/>
      <c r="AQ25" s="60"/>
      <c r="AR25" s="60"/>
      <c r="AS25" s="186" t="s">
        <v>22</v>
      </c>
      <c r="AT25" s="186" t="s">
        <v>22</v>
      </c>
      <c r="AU25" s="701"/>
    </row>
    <row r="26" spans="1:47" s="1" customFormat="1" ht="107.25" customHeight="1">
      <c r="A26" s="780"/>
      <c r="B26" s="693"/>
      <c r="C26" s="783"/>
      <c r="D26" s="734"/>
      <c r="E26" s="698" t="s">
        <v>79</v>
      </c>
      <c r="F26" s="698" t="s">
        <v>82</v>
      </c>
      <c r="G26" s="698">
        <v>0.97</v>
      </c>
      <c r="H26" s="698">
        <v>0.96</v>
      </c>
      <c r="I26" s="734"/>
      <c r="J26" s="698" t="s">
        <v>87</v>
      </c>
      <c r="K26" s="698" t="s">
        <v>18</v>
      </c>
      <c r="L26" s="689">
        <v>75</v>
      </c>
      <c r="M26" s="689">
        <v>78</v>
      </c>
      <c r="N26" s="689"/>
      <c r="O26" s="689" t="s">
        <v>97</v>
      </c>
      <c r="P26" s="545" t="s">
        <v>472</v>
      </c>
      <c r="Q26" s="536" t="s">
        <v>358</v>
      </c>
      <c r="R26" s="536">
        <v>100</v>
      </c>
      <c r="S26" s="536">
        <v>100</v>
      </c>
      <c r="T26" s="536">
        <v>100</v>
      </c>
      <c r="U26" s="536">
        <v>100</v>
      </c>
      <c r="V26" s="536">
        <v>100</v>
      </c>
      <c r="W26" s="730"/>
      <c r="X26" s="730"/>
      <c r="Y26" s="671"/>
      <c r="Z26" s="730"/>
      <c r="AA26" s="651"/>
      <c r="AB26" s="649"/>
      <c r="AC26" s="650"/>
      <c r="AD26" s="80"/>
      <c r="AE26" s="433"/>
      <c r="AF26" s="60"/>
      <c r="AG26" s="60"/>
      <c r="AH26" s="60"/>
      <c r="AI26" s="60"/>
      <c r="AJ26" s="60"/>
      <c r="AK26" s="60"/>
      <c r="AL26" s="60"/>
      <c r="AM26" s="60"/>
      <c r="AN26" s="60"/>
      <c r="AO26" s="60"/>
      <c r="AP26" s="60"/>
      <c r="AQ26" s="60"/>
      <c r="AR26" s="60"/>
      <c r="AS26" s="186"/>
      <c r="AT26" s="186"/>
      <c r="AU26" s="701"/>
    </row>
    <row r="27" spans="1:47" s="1" customFormat="1" ht="96" customHeight="1">
      <c r="A27" s="780"/>
      <c r="B27" s="693"/>
      <c r="C27" s="783"/>
      <c r="D27" s="734"/>
      <c r="E27" s="699"/>
      <c r="F27" s="699"/>
      <c r="G27" s="699"/>
      <c r="H27" s="699"/>
      <c r="I27" s="734"/>
      <c r="J27" s="699"/>
      <c r="K27" s="699"/>
      <c r="L27" s="691"/>
      <c r="M27" s="691"/>
      <c r="N27" s="691"/>
      <c r="O27" s="691"/>
      <c r="P27" s="545" t="s">
        <v>473</v>
      </c>
      <c r="Q27" s="536" t="s">
        <v>358</v>
      </c>
      <c r="R27" s="536">
        <v>85</v>
      </c>
      <c r="S27" s="536">
        <v>85</v>
      </c>
      <c r="T27" s="536">
        <v>85</v>
      </c>
      <c r="U27" s="536">
        <v>85</v>
      </c>
      <c r="V27" s="536">
        <v>85</v>
      </c>
      <c r="W27" s="730"/>
      <c r="X27" s="730"/>
      <c r="Y27" s="671"/>
      <c r="Z27" s="730"/>
      <c r="AA27" s="651"/>
      <c r="AB27" s="649"/>
      <c r="AC27" s="650"/>
      <c r="AD27" s="80"/>
      <c r="AE27" s="433"/>
      <c r="AF27" s="60"/>
      <c r="AG27" s="60"/>
      <c r="AH27" s="60"/>
      <c r="AI27" s="60"/>
      <c r="AJ27" s="60"/>
      <c r="AK27" s="60"/>
      <c r="AL27" s="60"/>
      <c r="AM27" s="60"/>
      <c r="AN27" s="60"/>
      <c r="AO27" s="60"/>
      <c r="AP27" s="60"/>
      <c r="AQ27" s="60"/>
      <c r="AR27" s="60"/>
      <c r="AS27" s="186" t="s">
        <v>22</v>
      </c>
      <c r="AT27" s="186" t="s">
        <v>22</v>
      </c>
      <c r="AU27" s="701"/>
    </row>
    <row r="28" spans="1:47" s="1" customFormat="1" ht="106.5" customHeight="1">
      <c r="A28" s="780"/>
      <c r="B28" s="693"/>
      <c r="C28" s="783"/>
      <c r="D28" s="734"/>
      <c r="E28" s="55" t="s">
        <v>80</v>
      </c>
      <c r="F28" s="56" t="s">
        <v>17</v>
      </c>
      <c r="G28" s="56">
        <v>0</v>
      </c>
      <c r="H28" s="56">
        <v>0</v>
      </c>
      <c r="I28" s="734"/>
      <c r="J28" s="57" t="s">
        <v>88</v>
      </c>
      <c r="K28" s="57" t="s">
        <v>18</v>
      </c>
      <c r="L28" s="61">
        <v>9</v>
      </c>
      <c r="M28" s="61">
        <v>15</v>
      </c>
      <c r="N28" s="689"/>
      <c r="O28" s="689" t="s">
        <v>95</v>
      </c>
      <c r="P28" s="543" t="s">
        <v>769</v>
      </c>
      <c r="Q28" s="536" t="s">
        <v>358</v>
      </c>
      <c r="R28" s="536">
        <v>100</v>
      </c>
      <c r="S28" s="536">
        <v>100</v>
      </c>
      <c r="T28" s="536">
        <v>100</v>
      </c>
      <c r="U28" s="536">
        <v>100</v>
      </c>
      <c r="V28" s="536">
        <v>100</v>
      </c>
      <c r="W28" s="730"/>
      <c r="X28" s="730"/>
      <c r="Y28" s="671"/>
      <c r="Z28" s="730"/>
      <c r="AA28" s="651"/>
      <c r="AB28" s="649"/>
      <c r="AC28" s="650"/>
      <c r="AD28" s="80"/>
      <c r="AE28" s="433"/>
      <c r="AF28" s="60"/>
      <c r="AG28" s="60"/>
      <c r="AH28" s="60"/>
      <c r="AI28" s="60"/>
      <c r="AJ28" s="60"/>
      <c r="AK28" s="60"/>
      <c r="AL28" s="60"/>
      <c r="AM28" s="60"/>
      <c r="AN28" s="60"/>
      <c r="AO28" s="60"/>
      <c r="AP28" s="60"/>
      <c r="AQ28" s="60"/>
      <c r="AR28" s="60"/>
      <c r="AS28" s="186" t="s">
        <v>22</v>
      </c>
      <c r="AT28" s="186" t="s">
        <v>22</v>
      </c>
      <c r="AU28" s="701"/>
    </row>
    <row r="29" spans="1:47" s="1" customFormat="1" ht="102" customHeight="1">
      <c r="A29" s="780"/>
      <c r="B29" s="693"/>
      <c r="C29" s="783"/>
      <c r="D29" s="734"/>
      <c r="E29" s="787" t="s">
        <v>81</v>
      </c>
      <c r="F29" s="698" t="s">
        <v>82</v>
      </c>
      <c r="G29" s="698">
        <v>1.1399999999999999</v>
      </c>
      <c r="H29" s="698">
        <v>1.17</v>
      </c>
      <c r="I29" s="734"/>
      <c r="J29" s="57" t="s">
        <v>89</v>
      </c>
      <c r="K29" s="57" t="s">
        <v>18</v>
      </c>
      <c r="L29" s="61">
        <v>75</v>
      </c>
      <c r="M29" s="61">
        <v>85</v>
      </c>
      <c r="N29" s="691"/>
      <c r="O29" s="691"/>
      <c r="P29" s="545" t="s">
        <v>773</v>
      </c>
      <c r="Q29" s="536" t="s">
        <v>358</v>
      </c>
      <c r="R29" s="536">
        <v>80</v>
      </c>
      <c r="S29" s="536">
        <v>20</v>
      </c>
      <c r="T29" s="536">
        <v>20</v>
      </c>
      <c r="U29" s="536">
        <v>20</v>
      </c>
      <c r="V29" s="536">
        <v>20</v>
      </c>
      <c r="W29" s="730"/>
      <c r="X29" s="730"/>
      <c r="Y29" s="671"/>
      <c r="Z29" s="730"/>
      <c r="AA29" s="649"/>
      <c r="AB29" s="649"/>
      <c r="AC29" s="650"/>
      <c r="AD29" s="80"/>
      <c r="AE29" s="433"/>
      <c r="AF29" s="60"/>
      <c r="AG29" s="60"/>
      <c r="AH29" s="60"/>
      <c r="AI29" s="60"/>
      <c r="AJ29" s="60"/>
      <c r="AK29" s="60"/>
      <c r="AL29" s="60"/>
      <c r="AM29" s="60"/>
      <c r="AN29" s="60"/>
      <c r="AO29" s="60"/>
      <c r="AP29" s="60"/>
      <c r="AQ29" s="60"/>
      <c r="AR29" s="60"/>
      <c r="AS29" s="186" t="s">
        <v>22</v>
      </c>
      <c r="AT29" s="186" t="s">
        <v>22</v>
      </c>
      <c r="AU29" s="701"/>
    </row>
    <row r="30" spans="1:47" s="1" customFormat="1" ht="102" customHeight="1">
      <c r="A30" s="780"/>
      <c r="B30" s="693"/>
      <c r="C30" s="783"/>
      <c r="D30" s="734"/>
      <c r="E30" s="788"/>
      <c r="F30" s="734"/>
      <c r="G30" s="734"/>
      <c r="H30" s="734"/>
      <c r="I30" s="734"/>
      <c r="J30" s="698" t="s">
        <v>90</v>
      </c>
      <c r="K30" s="698" t="s">
        <v>18</v>
      </c>
      <c r="L30" s="689">
        <v>8</v>
      </c>
      <c r="M30" s="689">
        <v>5</v>
      </c>
      <c r="N30" s="689"/>
      <c r="O30" s="689" t="s">
        <v>97</v>
      </c>
      <c r="P30" s="545" t="s">
        <v>475</v>
      </c>
      <c r="Q30" s="536" t="s">
        <v>358</v>
      </c>
      <c r="R30" s="536">
        <v>80</v>
      </c>
      <c r="S30" s="536">
        <v>80</v>
      </c>
      <c r="T30" s="536">
        <v>80</v>
      </c>
      <c r="U30" s="536">
        <v>80</v>
      </c>
      <c r="V30" s="536">
        <v>80</v>
      </c>
      <c r="W30" s="730"/>
      <c r="X30" s="730"/>
      <c r="Y30" s="671"/>
      <c r="Z30" s="730"/>
      <c r="AA30" s="651"/>
      <c r="AB30" s="649"/>
      <c r="AC30" s="650"/>
      <c r="AD30" s="80"/>
      <c r="AE30" s="433"/>
      <c r="AF30" s="60"/>
      <c r="AG30" s="60"/>
      <c r="AH30" s="60"/>
      <c r="AI30" s="60"/>
      <c r="AJ30" s="60"/>
      <c r="AK30" s="60"/>
      <c r="AL30" s="60"/>
      <c r="AM30" s="60"/>
      <c r="AN30" s="60"/>
      <c r="AO30" s="60"/>
      <c r="AP30" s="60"/>
      <c r="AQ30" s="60"/>
      <c r="AR30" s="60"/>
      <c r="AS30" s="186"/>
      <c r="AT30" s="186"/>
      <c r="AU30" s="701"/>
    </row>
    <row r="31" spans="1:47" s="1" customFormat="1" ht="78.75" customHeight="1">
      <c r="A31" s="780"/>
      <c r="B31" s="693"/>
      <c r="C31" s="783"/>
      <c r="D31" s="734"/>
      <c r="E31" s="788"/>
      <c r="F31" s="734"/>
      <c r="G31" s="734"/>
      <c r="H31" s="734"/>
      <c r="I31" s="734"/>
      <c r="J31" s="699"/>
      <c r="K31" s="699"/>
      <c r="L31" s="691"/>
      <c r="M31" s="691"/>
      <c r="N31" s="691"/>
      <c r="O31" s="690"/>
      <c r="P31" s="543" t="s">
        <v>476</v>
      </c>
      <c r="Q31" s="536" t="s">
        <v>358</v>
      </c>
      <c r="R31" s="536">
        <v>80</v>
      </c>
      <c r="S31" s="536">
        <v>80</v>
      </c>
      <c r="T31" s="536">
        <v>80</v>
      </c>
      <c r="U31" s="536">
        <v>80</v>
      </c>
      <c r="V31" s="536">
        <v>80</v>
      </c>
      <c r="W31" s="730"/>
      <c r="X31" s="730"/>
      <c r="Y31" s="671"/>
      <c r="Z31" s="730"/>
      <c r="AA31" s="651"/>
      <c r="AB31" s="649"/>
      <c r="AC31" s="650"/>
      <c r="AD31" s="80"/>
      <c r="AE31" s="433"/>
      <c r="AF31" s="60"/>
      <c r="AG31" s="60"/>
      <c r="AH31" s="60"/>
      <c r="AI31" s="60"/>
      <c r="AJ31" s="60"/>
      <c r="AK31" s="60"/>
      <c r="AL31" s="60"/>
      <c r="AM31" s="60"/>
      <c r="AN31" s="60"/>
      <c r="AO31" s="60"/>
      <c r="AP31" s="60"/>
      <c r="AQ31" s="60"/>
      <c r="AR31" s="60"/>
      <c r="AS31" s="186" t="s">
        <v>22</v>
      </c>
      <c r="AT31" s="186" t="s">
        <v>22</v>
      </c>
      <c r="AU31" s="701"/>
    </row>
    <row r="32" spans="1:47" s="1" customFormat="1" ht="96" customHeight="1">
      <c r="A32" s="780"/>
      <c r="B32" s="693"/>
      <c r="C32" s="783"/>
      <c r="D32" s="734"/>
      <c r="E32" s="788"/>
      <c r="F32" s="734"/>
      <c r="G32" s="734"/>
      <c r="H32" s="734"/>
      <c r="I32" s="734"/>
      <c r="J32" s="57" t="s">
        <v>91</v>
      </c>
      <c r="K32" s="57" t="s">
        <v>18</v>
      </c>
      <c r="L32" s="61">
        <v>100</v>
      </c>
      <c r="M32" s="61">
        <v>100</v>
      </c>
      <c r="N32" s="58"/>
      <c r="O32" s="691"/>
      <c r="P32" s="543" t="s">
        <v>476</v>
      </c>
      <c r="Q32" s="536" t="s">
        <v>358</v>
      </c>
      <c r="R32" s="536">
        <v>80</v>
      </c>
      <c r="S32" s="536">
        <v>20</v>
      </c>
      <c r="T32" s="536">
        <v>20</v>
      </c>
      <c r="U32" s="536">
        <v>20</v>
      </c>
      <c r="V32" s="536">
        <v>20</v>
      </c>
      <c r="W32" s="730"/>
      <c r="X32" s="730"/>
      <c r="Y32" s="671"/>
      <c r="Z32" s="730"/>
      <c r="AA32" s="651"/>
      <c r="AB32" s="649"/>
      <c r="AC32" s="650"/>
      <c r="AD32" s="80"/>
      <c r="AE32" s="433"/>
      <c r="AF32" s="60"/>
      <c r="AG32" s="60"/>
      <c r="AH32" s="60"/>
      <c r="AI32" s="60"/>
      <c r="AJ32" s="60"/>
      <c r="AK32" s="60"/>
      <c r="AL32" s="60"/>
      <c r="AM32" s="60"/>
      <c r="AN32" s="60"/>
      <c r="AO32" s="60"/>
      <c r="AP32" s="60"/>
      <c r="AQ32" s="60"/>
      <c r="AR32" s="60"/>
      <c r="AS32" s="186" t="s">
        <v>22</v>
      </c>
      <c r="AT32" s="186" t="s">
        <v>22</v>
      </c>
      <c r="AU32" s="701"/>
    </row>
    <row r="33" spans="1:49" s="1" customFormat="1" ht="100.5" customHeight="1">
      <c r="A33" s="780"/>
      <c r="B33" s="693"/>
      <c r="C33" s="783"/>
      <c r="D33" s="734"/>
      <c r="E33" s="788"/>
      <c r="F33" s="734"/>
      <c r="G33" s="734"/>
      <c r="H33" s="734"/>
      <c r="I33" s="699"/>
      <c r="J33" s="57" t="s">
        <v>92</v>
      </c>
      <c r="K33" s="57" t="s">
        <v>17</v>
      </c>
      <c r="L33" s="57">
        <v>1</v>
      </c>
      <c r="M33" s="57">
        <v>1</v>
      </c>
      <c r="N33" s="554"/>
      <c r="O33" s="553" t="s">
        <v>98</v>
      </c>
      <c r="P33" s="543" t="s">
        <v>477</v>
      </c>
      <c r="Q33" s="543" t="s">
        <v>358</v>
      </c>
      <c r="R33" s="543">
        <v>100</v>
      </c>
      <c r="S33" s="536">
        <v>100</v>
      </c>
      <c r="T33" s="536">
        <v>100</v>
      </c>
      <c r="U33" s="536">
        <v>100</v>
      </c>
      <c r="V33" s="536">
        <v>100</v>
      </c>
      <c r="W33" s="730"/>
      <c r="X33" s="730"/>
      <c r="Y33" s="671"/>
      <c r="Z33" s="730"/>
      <c r="AA33" s="651"/>
      <c r="AB33" s="649"/>
      <c r="AC33" s="650"/>
      <c r="AD33" s="80"/>
      <c r="AE33" s="433"/>
      <c r="AF33" s="60"/>
      <c r="AG33" s="60"/>
      <c r="AH33" s="60"/>
      <c r="AI33" s="60"/>
      <c r="AJ33" s="60"/>
      <c r="AK33" s="60"/>
      <c r="AL33" s="60"/>
      <c r="AM33" s="60"/>
      <c r="AN33" s="60"/>
      <c r="AO33" s="60"/>
      <c r="AP33" s="60"/>
      <c r="AQ33" s="60"/>
      <c r="AR33" s="60"/>
      <c r="AS33" s="186" t="s">
        <v>22</v>
      </c>
      <c r="AT33" s="186" t="s">
        <v>22</v>
      </c>
      <c r="AU33" s="701"/>
    </row>
    <row r="34" spans="1:49" s="1" customFormat="1" ht="93" customHeight="1">
      <c r="A34" s="780"/>
      <c r="B34" s="693"/>
      <c r="C34" s="783"/>
      <c r="D34" s="734"/>
      <c r="E34" s="788"/>
      <c r="F34" s="734"/>
      <c r="G34" s="734"/>
      <c r="H34" s="734"/>
      <c r="I34" s="698" t="s">
        <v>99</v>
      </c>
      <c r="J34" s="57" t="s">
        <v>100</v>
      </c>
      <c r="K34" s="57" t="s">
        <v>17</v>
      </c>
      <c r="L34" s="61">
        <v>1</v>
      </c>
      <c r="M34" s="61">
        <v>1</v>
      </c>
      <c r="N34" s="58"/>
      <c r="O34" s="61" t="s">
        <v>102</v>
      </c>
      <c r="P34" s="543" t="s">
        <v>772</v>
      </c>
      <c r="Q34" s="536" t="s">
        <v>19</v>
      </c>
      <c r="R34" s="536">
        <v>12</v>
      </c>
      <c r="S34" s="536">
        <v>3</v>
      </c>
      <c r="T34" s="536">
        <v>3</v>
      </c>
      <c r="U34" s="536">
        <v>3</v>
      </c>
      <c r="V34" s="536">
        <v>3</v>
      </c>
      <c r="W34" s="730"/>
      <c r="X34" s="730"/>
      <c r="Y34" s="671"/>
      <c r="Z34" s="730"/>
      <c r="AA34" s="649"/>
      <c r="AB34" s="649"/>
      <c r="AC34" s="649"/>
      <c r="AD34" s="80"/>
      <c r="AE34" s="433"/>
      <c r="AF34" s="60"/>
      <c r="AG34" s="60"/>
      <c r="AH34" s="60"/>
      <c r="AI34" s="60"/>
      <c r="AJ34" s="60"/>
      <c r="AK34" s="60"/>
      <c r="AL34" s="60"/>
      <c r="AM34" s="60"/>
      <c r="AN34" s="60"/>
      <c r="AO34" s="60"/>
      <c r="AP34" s="60"/>
      <c r="AQ34" s="60"/>
      <c r="AR34" s="60"/>
      <c r="AS34" s="186" t="s">
        <v>22</v>
      </c>
      <c r="AT34" s="186" t="s">
        <v>22</v>
      </c>
      <c r="AU34" s="701"/>
    </row>
    <row r="35" spans="1:49" s="1" customFormat="1" ht="99.75" customHeight="1">
      <c r="A35" s="780"/>
      <c r="B35" s="693"/>
      <c r="C35" s="783"/>
      <c r="D35" s="734"/>
      <c r="E35" s="788"/>
      <c r="F35" s="734"/>
      <c r="G35" s="734"/>
      <c r="H35" s="734"/>
      <c r="I35" s="699"/>
      <c r="J35" s="57" t="s">
        <v>101</v>
      </c>
      <c r="K35" s="57" t="s">
        <v>18</v>
      </c>
      <c r="L35" s="61" t="s">
        <v>51</v>
      </c>
      <c r="M35" s="61">
        <v>60</v>
      </c>
      <c r="N35" s="58"/>
      <c r="O35" s="61" t="s">
        <v>103</v>
      </c>
      <c r="P35" s="543" t="s">
        <v>479</v>
      </c>
      <c r="Q35" s="536" t="s">
        <v>19</v>
      </c>
      <c r="R35" s="536">
        <v>12</v>
      </c>
      <c r="S35" s="536">
        <v>3</v>
      </c>
      <c r="T35" s="536">
        <v>3</v>
      </c>
      <c r="U35" s="536">
        <v>3</v>
      </c>
      <c r="V35" s="536">
        <v>3</v>
      </c>
      <c r="W35" s="730"/>
      <c r="X35" s="730"/>
      <c r="Y35" s="671"/>
      <c r="Z35" s="730"/>
      <c r="AA35" s="649"/>
      <c r="AB35" s="649"/>
      <c r="AC35" s="649"/>
      <c r="AD35" s="80"/>
      <c r="AE35" s="433"/>
      <c r="AF35" s="60"/>
      <c r="AG35" s="60"/>
      <c r="AH35" s="60"/>
      <c r="AI35" s="60"/>
      <c r="AJ35" s="60"/>
      <c r="AK35" s="60"/>
      <c r="AL35" s="60"/>
      <c r="AM35" s="60"/>
      <c r="AN35" s="60"/>
      <c r="AO35" s="60"/>
      <c r="AP35" s="60"/>
      <c r="AQ35" s="60"/>
      <c r="AR35" s="60"/>
      <c r="AS35" s="186" t="s">
        <v>22</v>
      </c>
      <c r="AT35" s="186" t="s">
        <v>22</v>
      </c>
      <c r="AU35" s="701"/>
      <c r="AW35" s="183"/>
    </row>
    <row r="36" spans="1:49" s="1" customFormat="1" ht="78.75" customHeight="1">
      <c r="A36" s="780"/>
      <c r="B36" s="693"/>
      <c r="C36" s="783"/>
      <c r="D36" s="734"/>
      <c r="E36" s="788"/>
      <c r="F36" s="734"/>
      <c r="G36" s="734"/>
      <c r="H36" s="734"/>
      <c r="I36" s="698" t="s">
        <v>104</v>
      </c>
      <c r="J36" s="57" t="s">
        <v>105</v>
      </c>
      <c r="K36" s="57" t="s">
        <v>108</v>
      </c>
      <c r="L36" s="61">
        <v>1.5</v>
      </c>
      <c r="M36" s="61">
        <v>1.4</v>
      </c>
      <c r="N36" s="58"/>
      <c r="O36" s="61" t="s">
        <v>110</v>
      </c>
      <c r="P36" s="543" t="s">
        <v>480</v>
      </c>
      <c r="Q36" s="536" t="s">
        <v>19</v>
      </c>
      <c r="R36" s="536">
        <v>12</v>
      </c>
      <c r="S36" s="536">
        <v>3</v>
      </c>
      <c r="T36" s="536">
        <v>3</v>
      </c>
      <c r="U36" s="536">
        <v>3</v>
      </c>
      <c r="V36" s="536">
        <v>3</v>
      </c>
      <c r="W36" s="730"/>
      <c r="X36" s="730"/>
      <c r="Y36" s="671"/>
      <c r="Z36" s="730"/>
      <c r="AA36" s="651"/>
      <c r="AB36" s="649"/>
      <c r="AC36" s="649"/>
      <c r="AD36" s="80"/>
      <c r="AE36" s="433"/>
      <c r="AF36" s="60"/>
      <c r="AG36" s="60"/>
      <c r="AH36" s="60"/>
      <c r="AI36" s="60"/>
      <c r="AJ36" s="60"/>
      <c r="AK36" s="60"/>
      <c r="AL36" s="60"/>
      <c r="AM36" s="60"/>
      <c r="AN36" s="60"/>
      <c r="AO36" s="60"/>
      <c r="AP36" s="60"/>
      <c r="AQ36" s="60"/>
      <c r="AR36" s="60"/>
      <c r="AS36" s="186" t="s">
        <v>22</v>
      </c>
      <c r="AT36" s="186" t="s">
        <v>22</v>
      </c>
      <c r="AU36" s="701"/>
    </row>
    <row r="37" spans="1:49" s="1" customFormat="1" ht="88.5" customHeight="1">
      <c r="A37" s="780"/>
      <c r="B37" s="693"/>
      <c r="C37" s="783"/>
      <c r="D37" s="734"/>
      <c r="E37" s="788"/>
      <c r="F37" s="734"/>
      <c r="G37" s="734"/>
      <c r="H37" s="734"/>
      <c r="I37" s="734"/>
      <c r="J37" s="57" t="s">
        <v>106</v>
      </c>
      <c r="K37" s="57" t="s">
        <v>108</v>
      </c>
      <c r="L37" s="61">
        <v>1.59</v>
      </c>
      <c r="M37" s="61">
        <v>1.4</v>
      </c>
      <c r="N37" s="58"/>
      <c r="O37" s="61" t="s">
        <v>111</v>
      </c>
      <c r="P37" s="536" t="s">
        <v>771</v>
      </c>
      <c r="Q37" s="536" t="s">
        <v>19</v>
      </c>
      <c r="R37" s="536">
        <v>12</v>
      </c>
      <c r="S37" s="536">
        <v>3</v>
      </c>
      <c r="T37" s="536">
        <v>3</v>
      </c>
      <c r="U37" s="536">
        <v>3</v>
      </c>
      <c r="V37" s="536">
        <v>3</v>
      </c>
      <c r="W37" s="730"/>
      <c r="X37" s="730"/>
      <c r="Y37" s="671"/>
      <c r="Z37" s="730"/>
      <c r="AA37" s="651"/>
      <c r="AB37" s="649"/>
      <c r="AC37" s="649"/>
      <c r="AD37" s="80"/>
      <c r="AE37" s="433"/>
      <c r="AF37" s="60"/>
      <c r="AG37" s="60"/>
      <c r="AH37" s="60"/>
      <c r="AI37" s="60"/>
      <c r="AJ37" s="60"/>
      <c r="AK37" s="60"/>
      <c r="AL37" s="60"/>
      <c r="AM37" s="60"/>
      <c r="AN37" s="60"/>
      <c r="AO37" s="60"/>
      <c r="AP37" s="60"/>
      <c r="AQ37" s="60"/>
      <c r="AR37" s="60"/>
      <c r="AS37" s="186" t="s">
        <v>22</v>
      </c>
      <c r="AT37" s="186" t="s">
        <v>22</v>
      </c>
      <c r="AU37" s="701"/>
    </row>
    <row r="38" spans="1:49" s="1" customFormat="1" ht="75" customHeight="1">
      <c r="A38" s="780"/>
      <c r="B38" s="693"/>
      <c r="C38" s="783"/>
      <c r="D38" s="734"/>
      <c r="E38" s="788"/>
      <c r="F38" s="734"/>
      <c r="G38" s="734"/>
      <c r="H38" s="734"/>
      <c r="I38" s="734"/>
      <c r="J38" s="787" t="s">
        <v>107</v>
      </c>
      <c r="K38" s="698" t="s">
        <v>18</v>
      </c>
      <c r="L38" s="689">
        <v>73</v>
      </c>
      <c r="M38" s="689">
        <v>80</v>
      </c>
      <c r="N38" s="58"/>
      <c r="O38" s="61" t="s">
        <v>109</v>
      </c>
      <c r="P38" s="543" t="s">
        <v>482</v>
      </c>
      <c r="Q38" s="536" t="s">
        <v>358</v>
      </c>
      <c r="R38" s="536">
        <v>100</v>
      </c>
      <c r="S38" s="536">
        <v>100</v>
      </c>
      <c r="T38" s="536">
        <v>100</v>
      </c>
      <c r="U38" s="536">
        <v>100</v>
      </c>
      <c r="V38" s="536">
        <v>100</v>
      </c>
      <c r="W38" s="730"/>
      <c r="X38" s="730"/>
      <c r="Y38" s="671"/>
      <c r="Z38" s="730"/>
      <c r="AA38" s="651"/>
      <c r="AB38" s="649"/>
      <c r="AC38" s="649"/>
      <c r="AD38" s="80"/>
      <c r="AE38" s="433"/>
      <c r="AF38" s="60"/>
      <c r="AG38" s="60"/>
      <c r="AH38" s="60"/>
      <c r="AI38" s="60"/>
      <c r="AJ38" s="60"/>
      <c r="AK38" s="60"/>
      <c r="AL38" s="60"/>
      <c r="AM38" s="60"/>
      <c r="AN38" s="60"/>
      <c r="AO38" s="60"/>
      <c r="AP38" s="60"/>
      <c r="AQ38" s="60"/>
      <c r="AR38" s="60"/>
      <c r="AS38" s="186" t="s">
        <v>22</v>
      </c>
      <c r="AT38" s="186" t="s">
        <v>22</v>
      </c>
      <c r="AU38" s="701"/>
    </row>
    <row r="39" spans="1:49" s="1" customFormat="1" ht="99.75" customHeight="1" thickBot="1">
      <c r="A39" s="780"/>
      <c r="B39" s="693"/>
      <c r="C39" s="784"/>
      <c r="D39" s="751"/>
      <c r="E39" s="789"/>
      <c r="F39" s="751"/>
      <c r="G39" s="751"/>
      <c r="H39" s="751"/>
      <c r="I39" s="751"/>
      <c r="J39" s="789"/>
      <c r="K39" s="751"/>
      <c r="L39" s="818"/>
      <c r="M39" s="818"/>
      <c r="N39" s="64"/>
      <c r="O39" s="65" t="s">
        <v>112</v>
      </c>
      <c r="P39" s="551" t="s">
        <v>770</v>
      </c>
      <c r="Q39" s="539" t="s">
        <v>17</v>
      </c>
      <c r="R39" s="539">
        <v>4</v>
      </c>
      <c r="S39" s="536">
        <v>1</v>
      </c>
      <c r="T39" s="536">
        <v>1</v>
      </c>
      <c r="U39" s="536">
        <v>1</v>
      </c>
      <c r="V39" s="536">
        <v>1</v>
      </c>
      <c r="W39" s="731"/>
      <c r="X39" s="819"/>
      <c r="Y39" s="727"/>
      <c r="Z39" s="731"/>
      <c r="AA39" s="651"/>
      <c r="AB39" s="649"/>
      <c r="AC39" s="649"/>
      <c r="AD39" s="80"/>
      <c r="AE39" s="433"/>
      <c r="AF39" s="60"/>
      <c r="AG39" s="60"/>
      <c r="AH39" s="60"/>
      <c r="AI39" s="60"/>
      <c r="AJ39" s="60"/>
      <c r="AK39" s="60"/>
      <c r="AL39" s="60"/>
      <c r="AM39" s="60"/>
      <c r="AN39" s="60"/>
      <c r="AO39" s="60"/>
      <c r="AP39" s="60"/>
      <c r="AQ39" s="60"/>
      <c r="AR39" s="60"/>
      <c r="AS39" s="186" t="s">
        <v>22</v>
      </c>
      <c r="AT39" s="186" t="s">
        <v>22</v>
      </c>
      <c r="AU39" s="702"/>
    </row>
    <row r="40" spans="1:49" s="1" customFormat="1" ht="99.75" customHeight="1" thickBot="1">
      <c r="A40" s="780"/>
      <c r="B40" s="693"/>
      <c r="C40" s="829" t="s">
        <v>792</v>
      </c>
      <c r="D40" s="201"/>
      <c r="E40" s="733" t="s">
        <v>314</v>
      </c>
      <c r="F40" s="733" t="s">
        <v>53</v>
      </c>
      <c r="G40" s="733" t="s">
        <v>51</v>
      </c>
      <c r="H40" s="733" t="s">
        <v>330</v>
      </c>
      <c r="I40" s="733" t="s">
        <v>115</v>
      </c>
      <c r="J40" s="511" t="s">
        <v>117</v>
      </c>
      <c r="K40" s="511" t="s">
        <v>17</v>
      </c>
      <c r="L40" s="514">
        <v>1</v>
      </c>
      <c r="M40" s="514">
        <v>1</v>
      </c>
      <c r="N40" s="208"/>
      <c r="O40" s="65"/>
      <c r="P40" s="551" t="s">
        <v>721</v>
      </c>
      <c r="Q40" s="551" t="s">
        <v>452</v>
      </c>
      <c r="R40" s="551">
        <v>1</v>
      </c>
      <c r="S40" s="551">
        <v>0</v>
      </c>
      <c r="T40" s="551">
        <v>0</v>
      </c>
      <c r="U40" s="551">
        <v>0</v>
      </c>
      <c r="V40" s="536">
        <v>1</v>
      </c>
      <c r="W40" s="718" t="s">
        <v>778</v>
      </c>
      <c r="X40" s="725"/>
      <c r="Y40" s="717">
        <f>6827512835+454251984+37584089283+1800000000+511781601-94903632-42000000-95000000+172639745+9345135847</f>
        <v>56463507663</v>
      </c>
      <c r="Z40" s="673">
        <f>+Y40</f>
        <v>56463507663</v>
      </c>
      <c r="AA40" s="649"/>
      <c r="AB40" s="642"/>
      <c r="AC40" s="642"/>
      <c r="AD40" s="80"/>
      <c r="AE40" s="433"/>
      <c r="AF40" s="60"/>
      <c r="AG40" s="60"/>
      <c r="AH40" s="60"/>
      <c r="AI40" s="60"/>
      <c r="AJ40" s="60"/>
      <c r="AK40" s="60"/>
      <c r="AL40" s="60"/>
      <c r="AM40" s="60"/>
      <c r="AN40" s="60"/>
      <c r="AO40" s="60"/>
      <c r="AP40" s="60"/>
      <c r="AQ40" s="60"/>
      <c r="AR40" s="60"/>
      <c r="AS40" s="186"/>
      <c r="AT40" s="186"/>
      <c r="AU40" s="200"/>
    </row>
    <row r="41" spans="1:49" s="1" customFormat="1" ht="108" customHeight="1" thickBot="1">
      <c r="A41" s="780"/>
      <c r="B41" s="693"/>
      <c r="C41" s="830"/>
      <c r="D41" s="734"/>
      <c r="E41" s="734"/>
      <c r="F41" s="734"/>
      <c r="G41" s="734"/>
      <c r="H41" s="734"/>
      <c r="I41" s="734"/>
      <c r="J41" s="698" t="s">
        <v>119</v>
      </c>
      <c r="K41" s="698" t="s">
        <v>18</v>
      </c>
      <c r="L41" s="689" t="s">
        <v>51</v>
      </c>
      <c r="M41" s="689">
        <v>100</v>
      </c>
      <c r="N41" s="58"/>
      <c r="O41" s="201"/>
      <c r="P41" s="551" t="s">
        <v>722</v>
      </c>
      <c r="Q41" s="551" t="s">
        <v>17</v>
      </c>
      <c r="R41" s="551">
        <v>12</v>
      </c>
      <c r="S41" s="551">
        <v>3</v>
      </c>
      <c r="T41" s="551">
        <v>3</v>
      </c>
      <c r="U41" s="551">
        <v>3</v>
      </c>
      <c r="V41" s="536">
        <v>3</v>
      </c>
      <c r="W41" s="713"/>
      <c r="X41" s="715"/>
      <c r="Y41" s="671"/>
      <c r="Z41" s="671"/>
      <c r="AA41" s="649"/>
      <c r="AB41" s="80"/>
      <c r="AC41" s="507"/>
      <c r="AD41" s="80"/>
      <c r="AE41" s="433"/>
      <c r="AF41" s="60"/>
      <c r="AG41" s="60"/>
      <c r="AH41" s="60"/>
      <c r="AI41" s="60"/>
      <c r="AJ41" s="60"/>
      <c r="AK41" s="60"/>
      <c r="AL41" s="60"/>
      <c r="AM41" s="60"/>
      <c r="AN41" s="60"/>
      <c r="AO41" s="60"/>
      <c r="AP41" s="60"/>
      <c r="AQ41" s="60"/>
      <c r="AR41" s="60"/>
      <c r="AS41" s="186"/>
      <c r="AT41" s="186"/>
      <c r="AU41" s="701"/>
    </row>
    <row r="42" spans="1:49" s="1" customFormat="1" ht="108" customHeight="1" thickBot="1">
      <c r="A42" s="780"/>
      <c r="B42" s="693"/>
      <c r="C42" s="830"/>
      <c r="D42" s="734"/>
      <c r="E42" s="734"/>
      <c r="F42" s="734"/>
      <c r="G42" s="734"/>
      <c r="H42" s="734"/>
      <c r="I42" s="734"/>
      <c r="J42" s="734"/>
      <c r="K42" s="734"/>
      <c r="L42" s="690"/>
      <c r="M42" s="690"/>
      <c r="N42" s="58"/>
      <c r="O42" s="733" t="s">
        <v>121</v>
      </c>
      <c r="P42" s="551" t="s">
        <v>492</v>
      </c>
      <c r="Q42" s="551" t="s">
        <v>17</v>
      </c>
      <c r="R42" s="551">
        <v>12</v>
      </c>
      <c r="S42" s="551">
        <v>3</v>
      </c>
      <c r="T42" s="551">
        <v>3</v>
      </c>
      <c r="U42" s="551">
        <v>3</v>
      </c>
      <c r="V42" s="536">
        <v>3</v>
      </c>
      <c r="W42" s="713"/>
      <c r="X42" s="715"/>
      <c r="Y42" s="671"/>
      <c r="Z42" s="671"/>
      <c r="AA42" s="651"/>
      <c r="AB42" s="80"/>
      <c r="AC42" s="507"/>
      <c r="AD42" s="80"/>
      <c r="AE42" s="433"/>
      <c r="AF42" s="60"/>
      <c r="AG42" s="60"/>
      <c r="AH42" s="60"/>
      <c r="AI42" s="60"/>
      <c r="AJ42" s="60"/>
      <c r="AK42" s="60"/>
      <c r="AL42" s="60"/>
      <c r="AM42" s="60"/>
      <c r="AN42" s="60"/>
      <c r="AO42" s="60"/>
      <c r="AP42" s="60"/>
      <c r="AQ42" s="60"/>
      <c r="AR42" s="60"/>
      <c r="AS42" s="186" t="s">
        <v>24</v>
      </c>
      <c r="AT42" s="186" t="s">
        <v>24</v>
      </c>
      <c r="AU42" s="701"/>
    </row>
    <row r="43" spans="1:49" s="1" customFormat="1" ht="108" customHeight="1" thickBot="1">
      <c r="A43" s="780"/>
      <c r="B43" s="693"/>
      <c r="C43" s="830"/>
      <c r="D43" s="734"/>
      <c r="E43" s="734"/>
      <c r="F43" s="734"/>
      <c r="G43" s="734"/>
      <c r="H43" s="734"/>
      <c r="I43" s="734"/>
      <c r="J43" s="734"/>
      <c r="K43" s="734"/>
      <c r="L43" s="690"/>
      <c r="M43" s="690"/>
      <c r="N43" s="58"/>
      <c r="O43" s="734"/>
      <c r="P43" s="551" t="s">
        <v>723</v>
      </c>
      <c r="Q43" s="551" t="s">
        <v>19</v>
      </c>
      <c r="R43" s="551">
        <v>8</v>
      </c>
      <c r="S43" s="551">
        <v>8</v>
      </c>
      <c r="T43" s="551">
        <v>0</v>
      </c>
      <c r="U43" s="551">
        <v>0</v>
      </c>
      <c r="V43" s="536">
        <v>0</v>
      </c>
      <c r="W43" s="713"/>
      <c r="X43" s="715"/>
      <c r="Y43" s="671"/>
      <c r="Z43" s="671"/>
      <c r="AA43" s="651"/>
      <c r="AB43" s="80"/>
      <c r="AC43" s="507"/>
      <c r="AD43" s="80"/>
      <c r="AE43" s="433"/>
      <c r="AF43" s="60"/>
      <c r="AG43" s="60"/>
      <c r="AH43" s="60"/>
      <c r="AI43" s="60"/>
      <c r="AJ43" s="60"/>
      <c r="AK43" s="60"/>
      <c r="AL43" s="60"/>
      <c r="AM43" s="60"/>
      <c r="AN43" s="60"/>
      <c r="AO43" s="60"/>
      <c r="AP43" s="60"/>
      <c r="AQ43" s="60"/>
      <c r="AR43" s="60"/>
      <c r="AS43" s="186"/>
      <c r="AT43" s="186"/>
      <c r="AU43" s="701"/>
    </row>
    <row r="44" spans="1:49" s="1" customFormat="1" ht="108" customHeight="1" thickBot="1">
      <c r="A44" s="780"/>
      <c r="B44" s="693"/>
      <c r="C44" s="830"/>
      <c r="D44" s="734"/>
      <c r="E44" s="734"/>
      <c r="F44" s="734"/>
      <c r="G44" s="734"/>
      <c r="H44" s="734"/>
      <c r="I44" s="734"/>
      <c r="J44" s="734"/>
      <c r="K44" s="734"/>
      <c r="L44" s="690"/>
      <c r="M44" s="690"/>
      <c r="N44" s="58"/>
      <c r="O44" s="734"/>
      <c r="P44" s="551" t="s">
        <v>915</v>
      </c>
      <c r="Q44" s="551" t="s">
        <v>17</v>
      </c>
      <c r="R44" s="551">
        <v>12</v>
      </c>
      <c r="S44" s="551">
        <v>3</v>
      </c>
      <c r="T44" s="551">
        <v>3</v>
      </c>
      <c r="U44" s="551">
        <v>3</v>
      </c>
      <c r="V44" s="536">
        <v>3</v>
      </c>
      <c r="W44" s="713"/>
      <c r="X44" s="715"/>
      <c r="Y44" s="671"/>
      <c r="Z44" s="671"/>
      <c r="AA44" s="651"/>
      <c r="AB44" s="80"/>
      <c r="AC44" s="507"/>
      <c r="AD44" s="80"/>
      <c r="AE44" s="433"/>
      <c r="AF44" s="60"/>
      <c r="AG44" s="60"/>
      <c r="AH44" s="60"/>
      <c r="AI44" s="60"/>
      <c r="AJ44" s="60"/>
      <c r="AK44" s="60"/>
      <c r="AL44" s="60"/>
      <c r="AM44" s="60"/>
      <c r="AN44" s="60"/>
      <c r="AO44" s="60"/>
      <c r="AP44" s="60"/>
      <c r="AQ44" s="60"/>
      <c r="AR44" s="60"/>
      <c r="AS44" s="186" t="s">
        <v>24</v>
      </c>
      <c r="AT44" s="186" t="s">
        <v>24</v>
      </c>
      <c r="AU44" s="701"/>
      <c r="AV44" s="184"/>
    </row>
    <row r="45" spans="1:49" s="1" customFormat="1" ht="108" customHeight="1" thickBot="1">
      <c r="A45" s="780"/>
      <c r="B45" s="693"/>
      <c r="C45" s="830"/>
      <c r="D45" s="734"/>
      <c r="E45" s="734"/>
      <c r="F45" s="734"/>
      <c r="G45" s="734"/>
      <c r="H45" s="734"/>
      <c r="I45" s="734"/>
      <c r="J45" s="57" t="s">
        <v>118</v>
      </c>
      <c r="K45" s="57" t="s">
        <v>18</v>
      </c>
      <c r="L45" s="61" t="s">
        <v>51</v>
      </c>
      <c r="M45" s="61">
        <v>100</v>
      </c>
      <c r="N45" s="58"/>
      <c r="O45" s="734"/>
      <c r="P45" s="551" t="s">
        <v>724</v>
      </c>
      <c r="Q45" s="551" t="s">
        <v>17</v>
      </c>
      <c r="R45" s="551">
        <v>1</v>
      </c>
      <c r="S45" s="551">
        <v>0</v>
      </c>
      <c r="T45" s="551">
        <v>0</v>
      </c>
      <c r="U45" s="551">
        <v>0</v>
      </c>
      <c r="V45" s="536">
        <v>1</v>
      </c>
      <c r="W45" s="713"/>
      <c r="X45" s="715"/>
      <c r="Y45" s="671"/>
      <c r="Z45" s="671"/>
      <c r="AA45" s="651"/>
      <c r="AB45" s="80"/>
      <c r="AC45" s="507"/>
      <c r="AD45" s="80"/>
      <c r="AE45" s="433"/>
      <c r="AF45" s="60"/>
      <c r="AG45" s="60"/>
      <c r="AH45" s="60"/>
      <c r="AI45" s="60"/>
      <c r="AJ45" s="60"/>
      <c r="AK45" s="60"/>
      <c r="AL45" s="60"/>
      <c r="AM45" s="60"/>
      <c r="AN45" s="60"/>
      <c r="AO45" s="60"/>
      <c r="AP45" s="60"/>
      <c r="AQ45" s="60"/>
      <c r="AR45" s="60"/>
      <c r="AS45" s="186" t="s">
        <v>24</v>
      </c>
      <c r="AT45" s="186" t="s">
        <v>24</v>
      </c>
      <c r="AU45" s="701"/>
      <c r="AV45" s="184"/>
    </row>
    <row r="46" spans="1:49" s="1" customFormat="1" ht="108" customHeight="1" thickBot="1">
      <c r="A46" s="780"/>
      <c r="B46" s="693"/>
      <c r="C46" s="830"/>
      <c r="D46" s="734"/>
      <c r="E46" s="734"/>
      <c r="F46" s="734"/>
      <c r="G46" s="734"/>
      <c r="H46" s="734"/>
      <c r="I46" s="734"/>
      <c r="J46" s="698" t="s">
        <v>116</v>
      </c>
      <c r="K46" s="698" t="s">
        <v>17</v>
      </c>
      <c r="L46" s="689">
        <v>1</v>
      </c>
      <c r="M46" s="689">
        <v>1</v>
      </c>
      <c r="N46" s="58"/>
      <c r="O46" s="734"/>
      <c r="P46" s="551" t="s">
        <v>725</v>
      </c>
      <c r="Q46" s="551" t="s">
        <v>19</v>
      </c>
      <c r="R46" s="551">
        <v>1</v>
      </c>
      <c r="S46" s="551">
        <v>1</v>
      </c>
      <c r="T46" s="551">
        <v>0</v>
      </c>
      <c r="U46" s="551">
        <v>0</v>
      </c>
      <c r="V46" s="536">
        <v>0</v>
      </c>
      <c r="W46" s="713"/>
      <c r="X46" s="715"/>
      <c r="Y46" s="671"/>
      <c r="Z46" s="671"/>
      <c r="AA46" s="649"/>
      <c r="AB46" s="80"/>
      <c r="AC46" s="507"/>
      <c r="AD46" s="80"/>
      <c r="AE46" s="433"/>
      <c r="AF46" s="60"/>
      <c r="AG46" s="60"/>
      <c r="AH46" s="60"/>
      <c r="AI46" s="60"/>
      <c r="AJ46" s="60"/>
      <c r="AK46" s="60"/>
      <c r="AL46" s="60"/>
      <c r="AM46" s="60"/>
      <c r="AN46" s="60"/>
      <c r="AO46" s="60"/>
      <c r="AP46" s="60"/>
      <c r="AQ46" s="60"/>
      <c r="AR46" s="60"/>
      <c r="AS46" s="186"/>
      <c r="AT46" s="186"/>
      <c r="AU46" s="701"/>
      <c r="AV46" s="184"/>
    </row>
    <row r="47" spans="1:49" s="1" customFormat="1" ht="99" customHeight="1" thickBot="1">
      <c r="A47" s="780"/>
      <c r="B47" s="693"/>
      <c r="C47" s="830"/>
      <c r="D47" s="734"/>
      <c r="E47" s="699"/>
      <c r="F47" s="699"/>
      <c r="G47" s="699"/>
      <c r="H47" s="699"/>
      <c r="I47" s="699"/>
      <c r="J47" s="699"/>
      <c r="K47" s="699"/>
      <c r="L47" s="691"/>
      <c r="M47" s="691"/>
      <c r="N47" s="58"/>
      <c r="O47" s="699"/>
      <c r="P47" s="551" t="s">
        <v>726</v>
      </c>
      <c r="Q47" s="551" t="s">
        <v>19</v>
      </c>
      <c r="R47" s="551">
        <v>12</v>
      </c>
      <c r="S47" s="551">
        <v>3</v>
      </c>
      <c r="T47" s="551">
        <v>3</v>
      </c>
      <c r="U47" s="551">
        <v>3</v>
      </c>
      <c r="V47" s="536">
        <v>3</v>
      </c>
      <c r="W47" s="713"/>
      <c r="X47" s="715"/>
      <c r="Y47" s="671"/>
      <c r="Z47" s="671"/>
      <c r="AA47" s="651"/>
      <c r="AB47" s="80"/>
      <c r="AC47" s="507"/>
      <c r="AD47" s="80"/>
      <c r="AE47" s="433"/>
      <c r="AF47" s="60"/>
      <c r="AG47" s="60"/>
      <c r="AH47" s="60"/>
      <c r="AI47" s="60"/>
      <c r="AJ47" s="60"/>
      <c r="AK47" s="60"/>
      <c r="AL47" s="60"/>
      <c r="AM47" s="60"/>
      <c r="AN47" s="60"/>
      <c r="AO47" s="60"/>
      <c r="AP47" s="60"/>
      <c r="AQ47" s="60"/>
      <c r="AR47" s="60"/>
      <c r="AS47" s="186" t="s">
        <v>24</v>
      </c>
      <c r="AT47" s="186" t="s">
        <v>24</v>
      </c>
      <c r="AU47" s="701"/>
    </row>
    <row r="48" spans="1:49" s="1" customFormat="1" ht="99" customHeight="1" thickBot="1">
      <c r="A48" s="780"/>
      <c r="B48" s="693"/>
      <c r="C48" s="830"/>
      <c r="D48" s="734"/>
      <c r="E48" s="698" t="s">
        <v>113</v>
      </c>
      <c r="F48" s="698" t="s">
        <v>53</v>
      </c>
      <c r="G48" s="698">
        <v>84</v>
      </c>
      <c r="H48" s="698">
        <v>84</v>
      </c>
      <c r="I48" s="698" t="s">
        <v>122</v>
      </c>
      <c r="J48" s="698" t="s">
        <v>123</v>
      </c>
      <c r="K48" s="698" t="s">
        <v>18</v>
      </c>
      <c r="L48" s="689">
        <v>84</v>
      </c>
      <c r="M48" s="689">
        <v>84</v>
      </c>
      <c r="N48" s="689"/>
      <c r="O48" s="692" t="s">
        <v>124</v>
      </c>
      <c r="P48" s="551" t="s">
        <v>484</v>
      </c>
      <c r="Q48" s="551" t="s">
        <v>452</v>
      </c>
      <c r="R48" s="551">
        <v>2</v>
      </c>
      <c r="S48" s="551">
        <v>0</v>
      </c>
      <c r="T48" s="551">
        <v>1</v>
      </c>
      <c r="U48" s="551">
        <v>0</v>
      </c>
      <c r="V48" s="536">
        <v>1</v>
      </c>
      <c r="W48" s="713"/>
      <c r="X48" s="715"/>
      <c r="Y48" s="671"/>
      <c r="Z48" s="671"/>
      <c r="AA48" s="652"/>
      <c r="AB48" s="507"/>
      <c r="AC48" s="507"/>
      <c r="AD48" s="80"/>
      <c r="AE48" s="433"/>
      <c r="AF48" s="60"/>
      <c r="AG48" s="60"/>
      <c r="AH48" s="60"/>
      <c r="AI48" s="60"/>
      <c r="AJ48" s="60"/>
      <c r="AK48" s="60"/>
      <c r="AL48" s="60"/>
      <c r="AM48" s="60"/>
      <c r="AN48" s="60"/>
      <c r="AO48" s="60"/>
      <c r="AP48" s="60"/>
      <c r="AQ48" s="60"/>
      <c r="AR48" s="60"/>
      <c r="AS48" s="186"/>
      <c r="AT48" s="186"/>
      <c r="AU48" s="701"/>
    </row>
    <row r="49" spans="1:48" s="1" customFormat="1" ht="99" customHeight="1" thickBot="1">
      <c r="A49" s="780"/>
      <c r="B49" s="693"/>
      <c r="C49" s="830"/>
      <c r="D49" s="734"/>
      <c r="E49" s="734"/>
      <c r="F49" s="734"/>
      <c r="G49" s="734"/>
      <c r="H49" s="734"/>
      <c r="I49" s="734"/>
      <c r="J49" s="734"/>
      <c r="K49" s="734"/>
      <c r="L49" s="690"/>
      <c r="M49" s="690"/>
      <c r="N49" s="690"/>
      <c r="O49" s="693"/>
      <c r="P49" s="551" t="s">
        <v>485</v>
      </c>
      <c r="Q49" s="551" t="s">
        <v>452</v>
      </c>
      <c r="R49" s="551">
        <v>12</v>
      </c>
      <c r="S49" s="551">
        <v>3</v>
      </c>
      <c r="T49" s="551">
        <v>3</v>
      </c>
      <c r="U49" s="551">
        <v>3</v>
      </c>
      <c r="V49" s="536">
        <v>3</v>
      </c>
      <c r="W49" s="713"/>
      <c r="X49" s="715"/>
      <c r="Y49" s="671"/>
      <c r="Z49" s="671"/>
      <c r="AA49" s="652"/>
      <c r="AB49" s="507"/>
      <c r="AC49" s="507"/>
      <c r="AD49" s="80"/>
      <c r="AE49" s="433"/>
      <c r="AF49" s="60"/>
      <c r="AG49" s="60"/>
      <c r="AH49" s="60"/>
      <c r="AI49" s="60"/>
      <c r="AJ49" s="60"/>
      <c r="AK49" s="60"/>
      <c r="AL49" s="60"/>
      <c r="AM49" s="60"/>
      <c r="AN49" s="60"/>
      <c r="AO49" s="60"/>
      <c r="AP49" s="60"/>
      <c r="AQ49" s="60"/>
      <c r="AR49" s="60"/>
      <c r="AS49" s="186"/>
      <c r="AT49" s="186"/>
      <c r="AU49" s="701"/>
    </row>
    <row r="50" spans="1:48" s="1" customFormat="1" ht="99" customHeight="1" thickBot="1">
      <c r="A50" s="780"/>
      <c r="B50" s="693"/>
      <c r="C50" s="830"/>
      <c r="D50" s="734"/>
      <c r="E50" s="734"/>
      <c r="F50" s="734"/>
      <c r="G50" s="734"/>
      <c r="H50" s="734"/>
      <c r="I50" s="734"/>
      <c r="J50" s="734"/>
      <c r="K50" s="734"/>
      <c r="L50" s="690"/>
      <c r="M50" s="690"/>
      <c r="N50" s="690"/>
      <c r="O50" s="693"/>
      <c r="P50" s="551" t="s">
        <v>486</v>
      </c>
      <c r="Q50" s="551" t="s">
        <v>452</v>
      </c>
      <c r="R50" s="551">
        <v>12</v>
      </c>
      <c r="S50" s="551">
        <v>3</v>
      </c>
      <c r="T50" s="551">
        <v>3</v>
      </c>
      <c r="U50" s="551">
        <v>3</v>
      </c>
      <c r="V50" s="536">
        <v>3</v>
      </c>
      <c r="W50" s="713"/>
      <c r="X50" s="715"/>
      <c r="Y50" s="671"/>
      <c r="Z50" s="671"/>
      <c r="AA50" s="652"/>
      <c r="AB50" s="507"/>
      <c r="AC50" s="507"/>
      <c r="AD50" s="80"/>
      <c r="AE50" s="433"/>
      <c r="AF50" s="60"/>
      <c r="AG50" s="60"/>
      <c r="AH50" s="60"/>
      <c r="AI50" s="60"/>
      <c r="AJ50" s="60"/>
      <c r="AK50" s="60"/>
      <c r="AL50" s="60"/>
      <c r="AM50" s="60"/>
      <c r="AN50" s="60"/>
      <c r="AO50" s="60"/>
      <c r="AP50" s="60"/>
      <c r="AQ50" s="60"/>
      <c r="AR50" s="60"/>
      <c r="AS50" s="186"/>
      <c r="AT50" s="186"/>
      <c r="AU50" s="701"/>
    </row>
    <row r="51" spans="1:48" s="1" customFormat="1" ht="99" customHeight="1" thickBot="1">
      <c r="A51" s="780"/>
      <c r="B51" s="693"/>
      <c r="C51" s="830"/>
      <c r="D51" s="734"/>
      <c r="E51" s="734"/>
      <c r="F51" s="734"/>
      <c r="G51" s="734"/>
      <c r="H51" s="734"/>
      <c r="I51" s="734"/>
      <c r="J51" s="734"/>
      <c r="K51" s="734"/>
      <c r="L51" s="690"/>
      <c r="M51" s="690"/>
      <c r="N51" s="690"/>
      <c r="O51" s="693"/>
      <c r="P51" s="551" t="s">
        <v>488</v>
      </c>
      <c r="Q51" s="551" t="s">
        <v>452</v>
      </c>
      <c r="R51" s="551">
        <v>1</v>
      </c>
      <c r="S51" s="551">
        <v>0</v>
      </c>
      <c r="T51" s="551">
        <v>0</v>
      </c>
      <c r="U51" s="551">
        <v>0</v>
      </c>
      <c r="V51" s="536">
        <v>1</v>
      </c>
      <c r="W51" s="713"/>
      <c r="X51" s="715"/>
      <c r="Y51" s="671"/>
      <c r="Z51" s="671"/>
      <c r="AA51" s="652"/>
      <c r="AB51" s="507"/>
      <c r="AC51" s="507"/>
      <c r="AD51" s="80"/>
      <c r="AE51" s="433"/>
      <c r="AF51" s="60"/>
      <c r="AG51" s="60"/>
      <c r="AH51" s="60"/>
      <c r="AI51" s="60"/>
      <c r="AJ51" s="60"/>
      <c r="AK51" s="60"/>
      <c r="AL51" s="60"/>
      <c r="AM51" s="60"/>
      <c r="AN51" s="60"/>
      <c r="AO51" s="60"/>
      <c r="AP51" s="60"/>
      <c r="AQ51" s="60"/>
      <c r="AR51" s="60"/>
      <c r="AS51" s="186"/>
      <c r="AT51" s="186"/>
      <c r="AU51" s="701"/>
    </row>
    <row r="52" spans="1:48" s="1" customFormat="1" ht="126.75" customHeight="1" thickBot="1">
      <c r="A52" s="780"/>
      <c r="B52" s="693"/>
      <c r="C52" s="830"/>
      <c r="D52" s="734"/>
      <c r="E52" s="699"/>
      <c r="F52" s="699"/>
      <c r="G52" s="699"/>
      <c r="H52" s="699"/>
      <c r="I52" s="699"/>
      <c r="J52" s="699"/>
      <c r="K52" s="699"/>
      <c r="L52" s="691"/>
      <c r="M52" s="691"/>
      <c r="N52" s="691"/>
      <c r="O52" s="694"/>
      <c r="P52" s="551" t="s">
        <v>487</v>
      </c>
      <c r="Q52" s="551" t="s">
        <v>452</v>
      </c>
      <c r="R52" s="551">
        <v>12</v>
      </c>
      <c r="S52" s="551">
        <v>3</v>
      </c>
      <c r="T52" s="551">
        <v>3</v>
      </c>
      <c r="U52" s="551">
        <v>3</v>
      </c>
      <c r="V52" s="536">
        <v>3</v>
      </c>
      <c r="W52" s="713"/>
      <c r="X52" s="715"/>
      <c r="Y52" s="671"/>
      <c r="Z52" s="671"/>
      <c r="AA52" s="652"/>
      <c r="AB52" s="507"/>
      <c r="AC52" s="507"/>
      <c r="AD52" s="80"/>
      <c r="AE52" s="433"/>
      <c r="AF52" s="60"/>
      <c r="AG52" s="60"/>
      <c r="AH52" s="60"/>
      <c r="AI52" s="60"/>
      <c r="AJ52" s="60"/>
      <c r="AK52" s="60"/>
      <c r="AL52" s="60"/>
      <c r="AM52" s="60"/>
      <c r="AN52" s="60"/>
      <c r="AO52" s="60"/>
      <c r="AP52" s="60"/>
      <c r="AQ52" s="60"/>
      <c r="AR52" s="60"/>
      <c r="AS52" s="186" t="s">
        <v>24</v>
      </c>
      <c r="AT52" s="186" t="s">
        <v>24</v>
      </c>
      <c r="AU52" s="701"/>
      <c r="AV52" s="1" t="s">
        <v>348</v>
      </c>
    </row>
    <row r="53" spans="1:48" s="1" customFormat="1" ht="84" customHeight="1" thickBot="1">
      <c r="A53" s="780"/>
      <c r="B53" s="693"/>
      <c r="C53" s="830"/>
      <c r="D53" s="734"/>
      <c r="E53" s="698" t="s">
        <v>114</v>
      </c>
      <c r="F53" s="698" t="s">
        <v>53</v>
      </c>
      <c r="G53" s="698" t="s">
        <v>51</v>
      </c>
      <c r="H53" s="698">
        <v>80</v>
      </c>
      <c r="I53" s="698" t="s">
        <v>125</v>
      </c>
      <c r="J53" s="57" t="s">
        <v>126</v>
      </c>
      <c r="K53" s="57" t="s">
        <v>18</v>
      </c>
      <c r="L53" s="61">
        <v>0</v>
      </c>
      <c r="M53" s="61">
        <v>100</v>
      </c>
      <c r="N53" s="58"/>
      <c r="O53" s="698" t="s">
        <v>128</v>
      </c>
      <c r="P53" s="551" t="s">
        <v>727</v>
      </c>
      <c r="Q53" s="551" t="s">
        <v>17</v>
      </c>
      <c r="R53" s="551">
        <v>5</v>
      </c>
      <c r="S53" s="551">
        <v>2</v>
      </c>
      <c r="T53" s="551">
        <v>1</v>
      </c>
      <c r="U53" s="551">
        <v>1</v>
      </c>
      <c r="V53" s="536">
        <v>1</v>
      </c>
      <c r="W53" s="713"/>
      <c r="X53" s="715"/>
      <c r="Y53" s="671"/>
      <c r="Z53" s="671"/>
      <c r="AA53" s="653"/>
      <c r="AB53" s="80"/>
      <c r="AC53" s="507"/>
      <c r="AD53" s="80"/>
      <c r="AE53" s="433"/>
      <c r="AF53" s="60"/>
      <c r="AG53" s="60"/>
      <c r="AH53" s="60"/>
      <c r="AI53" s="60"/>
      <c r="AJ53" s="60"/>
      <c r="AK53" s="60"/>
      <c r="AL53" s="60"/>
      <c r="AM53" s="60"/>
      <c r="AN53" s="60"/>
      <c r="AO53" s="60"/>
      <c r="AP53" s="60"/>
      <c r="AQ53" s="60"/>
      <c r="AR53" s="60"/>
      <c r="AS53" s="186" t="s">
        <v>24</v>
      </c>
      <c r="AT53" s="186" t="s">
        <v>24</v>
      </c>
      <c r="AU53" s="701"/>
    </row>
    <row r="54" spans="1:48" s="1" customFormat="1" ht="89.25" customHeight="1" thickBot="1">
      <c r="A54" s="780"/>
      <c r="B54" s="693"/>
      <c r="C54" s="830"/>
      <c r="D54" s="734"/>
      <c r="E54" s="734"/>
      <c r="F54" s="734"/>
      <c r="G54" s="734"/>
      <c r="H54" s="734"/>
      <c r="I54" s="699"/>
      <c r="J54" s="57" t="s">
        <v>127</v>
      </c>
      <c r="K54" s="57" t="s">
        <v>18</v>
      </c>
      <c r="L54" s="61">
        <v>100</v>
      </c>
      <c r="M54" s="61">
        <v>100</v>
      </c>
      <c r="N54" s="58"/>
      <c r="O54" s="699"/>
      <c r="P54" s="551" t="s">
        <v>728</v>
      </c>
      <c r="Q54" s="551" t="s">
        <v>19</v>
      </c>
      <c r="R54" s="551">
        <v>5</v>
      </c>
      <c r="S54" s="551">
        <v>2</v>
      </c>
      <c r="T54" s="551">
        <v>1</v>
      </c>
      <c r="U54" s="551">
        <v>1</v>
      </c>
      <c r="V54" s="536">
        <v>1</v>
      </c>
      <c r="W54" s="713"/>
      <c r="X54" s="715"/>
      <c r="Y54" s="671"/>
      <c r="Z54" s="671"/>
      <c r="AA54" s="653"/>
      <c r="AB54" s="80"/>
      <c r="AC54" s="507"/>
      <c r="AD54" s="80"/>
      <c r="AE54" s="433"/>
      <c r="AF54" s="60"/>
      <c r="AG54" s="60"/>
      <c r="AH54" s="60"/>
      <c r="AI54" s="60"/>
      <c r="AJ54" s="60"/>
      <c r="AK54" s="60"/>
      <c r="AL54" s="60"/>
      <c r="AM54" s="60"/>
      <c r="AN54" s="60"/>
      <c r="AO54" s="60"/>
      <c r="AP54" s="60"/>
      <c r="AQ54" s="60"/>
      <c r="AR54" s="60"/>
      <c r="AS54" s="186" t="s">
        <v>24</v>
      </c>
      <c r="AT54" s="186" t="s">
        <v>24</v>
      </c>
      <c r="AU54" s="701"/>
    </row>
    <row r="55" spans="1:48" s="1" customFormat="1" ht="95.25" customHeight="1" thickBot="1">
      <c r="A55" s="781"/>
      <c r="B55" s="786"/>
      <c r="C55" s="831"/>
      <c r="D55" s="751"/>
      <c r="E55" s="751"/>
      <c r="F55" s="751"/>
      <c r="G55" s="751"/>
      <c r="H55" s="751"/>
      <c r="I55" s="68" t="s">
        <v>129</v>
      </c>
      <c r="J55" s="68" t="s">
        <v>130</v>
      </c>
      <c r="K55" s="68" t="s">
        <v>18</v>
      </c>
      <c r="L55" s="66" t="s">
        <v>51</v>
      </c>
      <c r="M55" s="66">
        <v>100</v>
      </c>
      <c r="N55" s="64"/>
      <c r="O55" s="66" t="s">
        <v>131</v>
      </c>
      <c r="P55" s="551" t="s">
        <v>729</v>
      </c>
      <c r="Q55" s="551" t="s">
        <v>17</v>
      </c>
      <c r="R55" s="551">
        <v>1</v>
      </c>
      <c r="S55" s="551">
        <v>1</v>
      </c>
      <c r="T55" s="551">
        <v>0</v>
      </c>
      <c r="U55" s="551">
        <v>0</v>
      </c>
      <c r="V55" s="542">
        <v>0</v>
      </c>
      <c r="W55" s="719"/>
      <c r="X55" s="726"/>
      <c r="Y55" s="672"/>
      <c r="Z55" s="672"/>
      <c r="AA55" s="652"/>
      <c r="AB55" s="80"/>
      <c r="AC55" s="507"/>
      <c r="AD55" s="80"/>
      <c r="AE55" s="433"/>
      <c r="AF55" s="60"/>
      <c r="AG55" s="60"/>
      <c r="AH55" s="60"/>
      <c r="AI55" s="60"/>
      <c r="AJ55" s="60"/>
      <c r="AK55" s="60"/>
      <c r="AL55" s="60"/>
      <c r="AM55" s="60"/>
      <c r="AN55" s="60"/>
      <c r="AO55" s="60"/>
      <c r="AP55" s="60"/>
      <c r="AQ55" s="60"/>
      <c r="AR55" s="60"/>
      <c r="AS55" s="186" t="s">
        <v>24</v>
      </c>
      <c r="AT55" s="186" t="s">
        <v>24</v>
      </c>
      <c r="AU55" s="702"/>
    </row>
    <row r="56" spans="1:48" s="1" customFormat="1" ht="99.75" customHeight="1" thickBot="1">
      <c r="A56" s="839" t="s">
        <v>132</v>
      </c>
      <c r="B56" s="695" t="s">
        <v>133</v>
      </c>
      <c r="C56" s="695" t="s">
        <v>223</v>
      </c>
      <c r="D56" s="695" t="s">
        <v>134</v>
      </c>
      <c r="E56" s="695" t="s">
        <v>135</v>
      </c>
      <c r="F56" s="695" t="s">
        <v>17</v>
      </c>
      <c r="G56" s="695" t="s">
        <v>51</v>
      </c>
      <c r="H56" s="695">
        <v>0</v>
      </c>
      <c r="I56" s="695" t="s">
        <v>137</v>
      </c>
      <c r="J56" s="695" t="s">
        <v>139</v>
      </c>
      <c r="K56" s="695" t="s">
        <v>17</v>
      </c>
      <c r="L56" s="695" t="s">
        <v>51</v>
      </c>
      <c r="M56" s="695">
        <v>0</v>
      </c>
      <c r="N56" s="522"/>
      <c r="O56" s="696" t="s">
        <v>142</v>
      </c>
      <c r="P56" s="551" t="s">
        <v>736</v>
      </c>
      <c r="Q56" s="551" t="s">
        <v>17</v>
      </c>
      <c r="R56" s="551">
        <v>5</v>
      </c>
      <c r="S56" s="551">
        <v>2</v>
      </c>
      <c r="T56" s="551">
        <v>2</v>
      </c>
      <c r="U56" s="551">
        <v>1</v>
      </c>
      <c r="V56" s="536" t="s">
        <v>732</v>
      </c>
      <c r="W56" s="732" t="s">
        <v>779</v>
      </c>
      <c r="X56" s="725"/>
      <c r="Y56" s="673">
        <v>1032521509</v>
      </c>
      <c r="Z56" s="673">
        <f>+Y56</f>
        <v>1032521509</v>
      </c>
      <c r="AA56" s="507"/>
      <c r="AB56" s="507"/>
      <c r="AC56" s="506"/>
      <c r="AD56" s="176"/>
      <c r="AE56" s="339"/>
      <c r="AF56" s="176"/>
      <c r="AG56" s="176"/>
      <c r="AH56" s="236"/>
      <c r="AI56" s="236"/>
      <c r="AJ56" s="236"/>
      <c r="AK56" s="236"/>
      <c r="AL56" s="236"/>
      <c r="AM56" s="236"/>
      <c r="AN56" s="236"/>
      <c r="AO56" s="236"/>
      <c r="AP56" s="236"/>
      <c r="AQ56" s="236"/>
      <c r="AR56" s="236"/>
      <c r="AS56" s="73" t="s">
        <v>342</v>
      </c>
      <c r="AT56" s="73" t="s">
        <v>342</v>
      </c>
      <c r="AU56" s="182"/>
    </row>
    <row r="57" spans="1:48" s="1" customFormat="1" ht="99.75" customHeight="1" thickBot="1">
      <c r="A57" s="840"/>
      <c r="B57" s="669"/>
      <c r="C57" s="669"/>
      <c r="D57" s="669"/>
      <c r="E57" s="669"/>
      <c r="F57" s="669"/>
      <c r="G57" s="669"/>
      <c r="H57" s="669"/>
      <c r="I57" s="669"/>
      <c r="J57" s="669"/>
      <c r="K57" s="669"/>
      <c r="L57" s="669"/>
      <c r="M57" s="669"/>
      <c r="N57" s="216"/>
      <c r="O57" s="667"/>
      <c r="P57" s="551" t="s">
        <v>737</v>
      </c>
      <c r="Q57" s="551" t="s">
        <v>17</v>
      </c>
      <c r="R57" s="551">
        <v>30</v>
      </c>
      <c r="S57" s="551">
        <v>10</v>
      </c>
      <c r="T57" s="551">
        <v>5</v>
      </c>
      <c r="U57" s="551">
        <v>5</v>
      </c>
      <c r="V57" s="536">
        <v>10</v>
      </c>
      <c r="W57" s="713"/>
      <c r="X57" s="715"/>
      <c r="Y57" s="671"/>
      <c r="Z57" s="671"/>
      <c r="AA57" s="507"/>
      <c r="AB57" s="507"/>
      <c r="AC57" s="507"/>
      <c r="AD57" s="80"/>
      <c r="AE57" s="342"/>
      <c r="AF57" s="80"/>
      <c r="AG57" s="80"/>
      <c r="AH57" s="250"/>
      <c r="AI57" s="250"/>
      <c r="AJ57" s="250"/>
      <c r="AK57" s="250"/>
      <c r="AL57" s="250"/>
      <c r="AM57" s="250"/>
      <c r="AN57" s="250"/>
      <c r="AO57" s="250"/>
      <c r="AP57" s="250"/>
      <c r="AQ57" s="250"/>
      <c r="AR57" s="250"/>
      <c r="AS57" s="73" t="s">
        <v>342</v>
      </c>
      <c r="AT57" s="73" t="s">
        <v>342</v>
      </c>
      <c r="AU57" s="700" t="s">
        <v>341</v>
      </c>
    </row>
    <row r="58" spans="1:48" s="1" customFormat="1" ht="99.75" customHeight="1" thickBot="1">
      <c r="A58" s="840"/>
      <c r="B58" s="669"/>
      <c r="C58" s="669"/>
      <c r="D58" s="669"/>
      <c r="E58" s="669"/>
      <c r="F58" s="669"/>
      <c r="G58" s="669"/>
      <c r="H58" s="669"/>
      <c r="I58" s="669"/>
      <c r="J58" s="669"/>
      <c r="K58" s="669"/>
      <c r="L58" s="669"/>
      <c r="M58" s="669"/>
      <c r="N58" s="216"/>
      <c r="O58" s="667"/>
      <c r="P58" s="551" t="s">
        <v>738</v>
      </c>
      <c r="Q58" s="551" t="s">
        <v>358</v>
      </c>
      <c r="R58" s="551">
        <v>100</v>
      </c>
      <c r="S58" s="551">
        <v>25</v>
      </c>
      <c r="T58" s="551">
        <v>25</v>
      </c>
      <c r="U58" s="551">
        <v>25</v>
      </c>
      <c r="V58" s="536">
        <v>25</v>
      </c>
      <c r="W58" s="713"/>
      <c r="X58" s="715"/>
      <c r="Y58" s="671"/>
      <c r="Z58" s="671"/>
      <c r="AA58" s="507"/>
      <c r="AB58" s="507"/>
      <c r="AC58" s="507"/>
      <c r="AD58" s="80"/>
      <c r="AE58" s="342"/>
      <c r="AF58" s="80"/>
      <c r="AG58" s="80"/>
      <c r="AH58" s="250"/>
      <c r="AI58" s="250"/>
      <c r="AJ58" s="250"/>
      <c r="AK58" s="250"/>
      <c r="AL58" s="250"/>
      <c r="AM58" s="250"/>
      <c r="AN58" s="250"/>
      <c r="AO58" s="250"/>
      <c r="AP58" s="250"/>
      <c r="AQ58" s="250"/>
      <c r="AR58" s="250"/>
      <c r="AS58" s="73" t="s">
        <v>342</v>
      </c>
      <c r="AT58" s="73" t="s">
        <v>342</v>
      </c>
      <c r="AU58" s="701"/>
    </row>
    <row r="59" spans="1:48" s="218" customFormat="1" ht="99.75" customHeight="1" thickBot="1">
      <c r="A59" s="840"/>
      <c r="B59" s="669"/>
      <c r="C59" s="669"/>
      <c r="D59" s="669"/>
      <c r="E59" s="669"/>
      <c r="F59" s="669"/>
      <c r="G59" s="669"/>
      <c r="H59" s="669"/>
      <c r="I59" s="669"/>
      <c r="J59" s="669"/>
      <c r="K59" s="669"/>
      <c r="L59" s="669"/>
      <c r="M59" s="669"/>
      <c r="N59" s="216"/>
      <c r="O59" s="667"/>
      <c r="P59" s="551" t="s">
        <v>734</v>
      </c>
      <c r="Q59" s="551" t="s">
        <v>735</v>
      </c>
      <c r="R59" s="551">
        <v>10</v>
      </c>
      <c r="S59" s="551">
        <v>10</v>
      </c>
      <c r="T59" s="551">
        <v>10</v>
      </c>
      <c r="U59" s="551">
        <v>10</v>
      </c>
      <c r="V59" s="536">
        <v>10</v>
      </c>
      <c r="W59" s="713"/>
      <c r="X59" s="715"/>
      <c r="Y59" s="671"/>
      <c r="Z59" s="671"/>
      <c r="AA59" s="507"/>
      <c r="AB59" s="507"/>
      <c r="AC59" s="507"/>
      <c r="AD59" s="80"/>
      <c r="AE59" s="342"/>
      <c r="AF59" s="80"/>
      <c r="AG59" s="80"/>
      <c r="AH59" s="524"/>
      <c r="AI59" s="524"/>
      <c r="AJ59" s="524"/>
      <c r="AK59" s="524"/>
      <c r="AL59" s="524"/>
      <c r="AM59" s="524"/>
      <c r="AN59" s="524"/>
      <c r="AO59" s="524"/>
      <c r="AP59" s="524"/>
      <c r="AQ59" s="524"/>
      <c r="AR59" s="524"/>
      <c r="AS59" s="219"/>
      <c r="AT59" s="219"/>
      <c r="AU59" s="701"/>
    </row>
    <row r="60" spans="1:48" s="218" customFormat="1" ht="99.75" customHeight="1" thickBot="1">
      <c r="A60" s="840"/>
      <c r="B60" s="669"/>
      <c r="C60" s="669"/>
      <c r="D60" s="669"/>
      <c r="E60" s="669"/>
      <c r="F60" s="669"/>
      <c r="G60" s="669"/>
      <c r="H60" s="669"/>
      <c r="I60" s="669"/>
      <c r="J60" s="669"/>
      <c r="K60" s="669"/>
      <c r="L60" s="669"/>
      <c r="M60" s="669"/>
      <c r="N60" s="216"/>
      <c r="O60" s="667"/>
      <c r="P60" s="551" t="s">
        <v>733</v>
      </c>
      <c r="Q60" s="551" t="s">
        <v>86</v>
      </c>
      <c r="R60" s="551">
        <v>2</v>
      </c>
      <c r="S60" s="551">
        <v>2</v>
      </c>
      <c r="T60" s="551">
        <v>2</v>
      </c>
      <c r="U60" s="551">
        <v>2</v>
      </c>
      <c r="V60" s="536">
        <v>2</v>
      </c>
      <c r="W60" s="713"/>
      <c r="X60" s="715"/>
      <c r="Y60" s="671"/>
      <c r="Z60" s="671"/>
      <c r="AA60" s="507"/>
      <c r="AB60" s="507"/>
      <c r="AC60" s="507"/>
      <c r="AD60" s="80"/>
      <c r="AE60" s="342"/>
      <c r="AF60" s="80"/>
      <c r="AG60" s="80"/>
      <c r="AH60" s="524"/>
      <c r="AI60" s="524"/>
      <c r="AJ60" s="524"/>
      <c r="AK60" s="524"/>
      <c r="AL60" s="524"/>
      <c r="AM60" s="524"/>
      <c r="AN60" s="524"/>
      <c r="AO60" s="524"/>
      <c r="AP60" s="524"/>
      <c r="AQ60" s="524"/>
      <c r="AR60" s="524"/>
      <c r="AS60" s="219"/>
      <c r="AT60" s="219"/>
      <c r="AU60" s="701"/>
    </row>
    <row r="61" spans="1:48" s="1" customFormat="1" ht="99.75" customHeight="1" thickBot="1">
      <c r="A61" s="840"/>
      <c r="B61" s="669"/>
      <c r="C61" s="669"/>
      <c r="D61" s="669"/>
      <c r="E61" s="669"/>
      <c r="F61" s="669"/>
      <c r="G61" s="669"/>
      <c r="H61" s="669"/>
      <c r="I61" s="669"/>
      <c r="J61" s="697"/>
      <c r="K61" s="697"/>
      <c r="L61" s="697"/>
      <c r="M61" s="697"/>
      <c r="N61" s="216"/>
      <c r="O61" s="667"/>
      <c r="P61" s="551" t="s">
        <v>739</v>
      </c>
      <c r="Q61" s="551" t="s">
        <v>18</v>
      </c>
      <c r="R61" s="551">
        <v>100</v>
      </c>
      <c r="S61" s="551">
        <v>25</v>
      </c>
      <c r="T61" s="551">
        <v>25</v>
      </c>
      <c r="U61" s="551">
        <v>25</v>
      </c>
      <c r="V61" s="536">
        <v>25</v>
      </c>
      <c r="W61" s="714"/>
      <c r="X61" s="716"/>
      <c r="Y61" s="672"/>
      <c r="Z61" s="672"/>
      <c r="AA61" s="507"/>
      <c r="AB61" s="507"/>
      <c r="AC61" s="507"/>
      <c r="AD61" s="80"/>
      <c r="AE61" s="342"/>
      <c r="AF61" s="80"/>
      <c r="AG61" s="80"/>
      <c r="AH61" s="250"/>
      <c r="AI61" s="250"/>
      <c r="AJ61" s="250"/>
      <c r="AK61" s="250"/>
      <c r="AL61" s="250"/>
      <c r="AM61" s="250"/>
      <c r="AN61" s="250"/>
      <c r="AO61" s="250"/>
      <c r="AP61" s="250"/>
      <c r="AQ61" s="250"/>
      <c r="AR61" s="250"/>
      <c r="AS61" s="73" t="s">
        <v>342</v>
      </c>
      <c r="AT61" s="73" t="s">
        <v>342</v>
      </c>
      <c r="AU61" s="701"/>
    </row>
    <row r="62" spans="1:48" s="1" customFormat="1" ht="73.5" customHeight="1" thickBot="1">
      <c r="A62" s="840"/>
      <c r="B62" s="669"/>
      <c r="C62" s="669"/>
      <c r="D62" s="669"/>
      <c r="E62" s="669"/>
      <c r="F62" s="669"/>
      <c r="G62" s="669"/>
      <c r="H62" s="669"/>
      <c r="I62" s="669"/>
      <c r="J62" s="695" t="s">
        <v>138</v>
      </c>
      <c r="K62" s="695" t="s">
        <v>17</v>
      </c>
      <c r="L62" s="695" t="s">
        <v>51</v>
      </c>
      <c r="M62" s="695">
        <v>1</v>
      </c>
      <c r="N62" s="216"/>
      <c r="O62" s="667"/>
      <c r="P62" s="551" t="s">
        <v>809</v>
      </c>
      <c r="Q62" s="551" t="s">
        <v>17</v>
      </c>
      <c r="R62" s="551">
        <v>1</v>
      </c>
      <c r="S62" s="551">
        <v>0</v>
      </c>
      <c r="T62" s="551">
        <v>1</v>
      </c>
      <c r="U62" s="551">
        <v>0</v>
      </c>
      <c r="V62" s="536">
        <v>0</v>
      </c>
      <c r="W62" s="724" t="s">
        <v>784</v>
      </c>
      <c r="X62" s="728"/>
      <c r="Y62" s="673">
        <f>2400000000+22050000000+39748140696+7339885489</f>
        <v>71538026185</v>
      </c>
      <c r="Z62" s="673">
        <f>+Y62</f>
        <v>71538026185</v>
      </c>
      <c r="AA62" s="654"/>
      <c r="AB62" s="507"/>
      <c r="AC62" s="507"/>
      <c r="AD62" s="80"/>
      <c r="AE62" s="342"/>
      <c r="AF62" s="80"/>
      <c r="AG62" s="80"/>
      <c r="AH62" s="250"/>
      <c r="AI62" s="250"/>
      <c r="AJ62" s="250"/>
      <c r="AK62" s="250"/>
      <c r="AL62" s="250"/>
      <c r="AM62" s="250"/>
      <c r="AN62" s="250"/>
      <c r="AO62" s="250"/>
      <c r="AP62" s="250"/>
      <c r="AQ62" s="250"/>
      <c r="AR62" s="250"/>
      <c r="AS62" s="73" t="s">
        <v>342</v>
      </c>
      <c r="AT62" s="73" t="s">
        <v>342</v>
      </c>
      <c r="AU62" s="701"/>
    </row>
    <row r="63" spans="1:48" s="218" customFormat="1" ht="99.75" customHeight="1" thickBot="1">
      <c r="A63" s="840"/>
      <c r="B63" s="669"/>
      <c r="C63" s="669"/>
      <c r="D63" s="669"/>
      <c r="E63" s="669"/>
      <c r="F63" s="669"/>
      <c r="G63" s="669"/>
      <c r="H63" s="669"/>
      <c r="I63" s="669"/>
      <c r="J63" s="669"/>
      <c r="K63" s="669"/>
      <c r="L63" s="669"/>
      <c r="M63" s="669"/>
      <c r="N63" s="216"/>
      <c r="O63" s="667"/>
      <c r="P63" s="551" t="s">
        <v>810</v>
      </c>
      <c r="Q63" s="551" t="s">
        <v>17</v>
      </c>
      <c r="R63" s="551">
        <v>1</v>
      </c>
      <c r="S63" s="551">
        <v>0</v>
      </c>
      <c r="T63" s="551">
        <v>0</v>
      </c>
      <c r="U63" s="551">
        <v>1</v>
      </c>
      <c r="V63" s="536">
        <v>0</v>
      </c>
      <c r="W63" s="713"/>
      <c r="X63" s="715"/>
      <c r="Y63" s="671"/>
      <c r="Z63" s="671"/>
      <c r="AA63" s="654"/>
      <c r="AB63" s="507"/>
      <c r="AC63" s="507"/>
      <c r="AD63" s="80"/>
      <c r="AE63" s="342"/>
      <c r="AF63" s="80"/>
      <c r="AG63" s="80"/>
      <c r="AH63" s="593"/>
      <c r="AI63" s="593"/>
      <c r="AJ63" s="593"/>
      <c r="AK63" s="593"/>
      <c r="AL63" s="593"/>
      <c r="AM63" s="593"/>
      <c r="AN63" s="593"/>
      <c r="AO63" s="593"/>
      <c r="AP63" s="593"/>
      <c r="AQ63" s="593"/>
      <c r="AR63" s="593"/>
      <c r="AS63" s="219"/>
      <c r="AT63" s="219"/>
      <c r="AU63" s="701"/>
    </row>
    <row r="64" spans="1:48" s="1" customFormat="1" ht="52.5" customHeight="1" thickBot="1">
      <c r="A64" s="840"/>
      <c r="B64" s="669"/>
      <c r="C64" s="669"/>
      <c r="D64" s="669"/>
      <c r="E64" s="669"/>
      <c r="F64" s="669"/>
      <c r="G64" s="669"/>
      <c r="H64" s="669"/>
      <c r="I64" s="669"/>
      <c r="J64" s="668" t="s">
        <v>140</v>
      </c>
      <c r="K64" s="668" t="s">
        <v>17</v>
      </c>
      <c r="L64" s="668" t="s">
        <v>51</v>
      </c>
      <c r="M64" s="668">
        <v>1</v>
      </c>
      <c r="N64" s="216"/>
      <c r="O64" s="667"/>
      <c r="P64" s="551" t="s">
        <v>873</v>
      </c>
      <c r="Q64" s="551" t="s">
        <v>17</v>
      </c>
      <c r="R64" s="551">
        <v>1</v>
      </c>
      <c r="S64" s="551">
        <v>1</v>
      </c>
      <c r="T64" s="551">
        <v>0</v>
      </c>
      <c r="U64" s="551">
        <v>0</v>
      </c>
      <c r="V64" s="536">
        <v>0</v>
      </c>
      <c r="W64" s="713"/>
      <c r="X64" s="715"/>
      <c r="Y64" s="671"/>
      <c r="Z64" s="671"/>
      <c r="AA64" s="655"/>
      <c r="AB64" s="507"/>
      <c r="AC64" s="507"/>
      <c r="AD64" s="80"/>
      <c r="AE64" s="342"/>
      <c r="AF64" s="80"/>
      <c r="AG64" s="80"/>
      <c r="AH64" s="250"/>
      <c r="AI64" s="250"/>
      <c r="AJ64" s="250"/>
      <c r="AK64" s="250"/>
      <c r="AL64" s="250"/>
      <c r="AM64" s="250"/>
      <c r="AN64" s="250"/>
      <c r="AO64" s="250"/>
      <c r="AP64" s="250"/>
      <c r="AQ64" s="250"/>
      <c r="AR64" s="250"/>
      <c r="AS64" s="73" t="s">
        <v>342</v>
      </c>
      <c r="AT64" s="73" t="s">
        <v>342</v>
      </c>
      <c r="AU64" s="701"/>
    </row>
    <row r="65" spans="1:47" s="1" customFormat="1" ht="99.75" customHeight="1" thickBot="1">
      <c r="A65" s="840"/>
      <c r="B65" s="669"/>
      <c r="C65" s="669"/>
      <c r="D65" s="669"/>
      <c r="E65" s="669"/>
      <c r="F65" s="669"/>
      <c r="G65" s="669"/>
      <c r="H65" s="669"/>
      <c r="I65" s="669"/>
      <c r="J65" s="669"/>
      <c r="K65" s="669"/>
      <c r="L65" s="669"/>
      <c r="M65" s="669"/>
      <c r="N65" s="216"/>
      <c r="O65" s="667"/>
      <c r="P65" s="551" t="s">
        <v>811</v>
      </c>
      <c r="Q65" s="551" t="s">
        <v>17</v>
      </c>
      <c r="R65" s="551">
        <v>1</v>
      </c>
      <c r="S65" s="551">
        <v>1</v>
      </c>
      <c r="T65" s="551">
        <v>0</v>
      </c>
      <c r="U65" s="551">
        <v>0</v>
      </c>
      <c r="V65" s="536">
        <v>0</v>
      </c>
      <c r="W65" s="713"/>
      <c r="X65" s="715"/>
      <c r="Y65" s="671"/>
      <c r="Z65" s="671"/>
      <c r="AA65" s="507"/>
      <c r="AB65" s="507"/>
      <c r="AC65" s="507"/>
      <c r="AD65" s="80"/>
      <c r="AE65" s="342"/>
      <c r="AF65" s="80"/>
      <c r="AG65" s="80"/>
      <c r="AH65" s="250"/>
      <c r="AI65" s="250"/>
      <c r="AJ65" s="250"/>
      <c r="AK65" s="250"/>
      <c r="AL65" s="250"/>
      <c r="AM65" s="250"/>
      <c r="AN65" s="250"/>
      <c r="AO65" s="250"/>
      <c r="AP65" s="250"/>
      <c r="AQ65" s="250"/>
      <c r="AR65" s="250"/>
      <c r="AS65" s="73"/>
      <c r="AT65" s="73"/>
      <c r="AU65" s="701"/>
    </row>
    <row r="66" spans="1:47" s="1" customFormat="1" ht="72.75" customHeight="1" thickBot="1">
      <c r="A66" s="840"/>
      <c r="B66" s="669"/>
      <c r="C66" s="669"/>
      <c r="D66" s="669"/>
      <c r="E66" s="669"/>
      <c r="F66" s="669"/>
      <c r="G66" s="669"/>
      <c r="H66" s="669"/>
      <c r="I66" s="669"/>
      <c r="J66" s="669"/>
      <c r="K66" s="669"/>
      <c r="L66" s="669"/>
      <c r="M66" s="669"/>
      <c r="N66" s="216"/>
      <c r="O66" s="667"/>
      <c r="P66" s="551" t="s">
        <v>812</v>
      </c>
      <c r="Q66" s="551" t="s">
        <v>17</v>
      </c>
      <c r="R66" s="551">
        <v>1</v>
      </c>
      <c r="S66" s="551">
        <v>0</v>
      </c>
      <c r="T66" s="551">
        <v>1</v>
      </c>
      <c r="U66" s="551">
        <v>0</v>
      </c>
      <c r="V66" s="536">
        <v>0</v>
      </c>
      <c r="W66" s="713"/>
      <c r="X66" s="715"/>
      <c r="Y66" s="671"/>
      <c r="Z66" s="671"/>
      <c r="AA66" s="507"/>
      <c r="AB66" s="507"/>
      <c r="AC66" s="507"/>
      <c r="AD66" s="80"/>
      <c r="AE66" s="342"/>
      <c r="AF66" s="80"/>
      <c r="AG66" s="80"/>
      <c r="AH66" s="250"/>
      <c r="AI66" s="250"/>
      <c r="AJ66" s="250"/>
      <c r="AK66" s="250"/>
      <c r="AL66" s="250"/>
      <c r="AM66" s="250"/>
      <c r="AN66" s="250"/>
      <c r="AO66" s="250"/>
      <c r="AP66" s="250"/>
      <c r="AQ66" s="250"/>
      <c r="AR66" s="250"/>
      <c r="AS66" s="73"/>
      <c r="AT66" s="73"/>
      <c r="AU66" s="701"/>
    </row>
    <row r="67" spans="1:47" s="218" customFormat="1" ht="69" customHeight="1" thickBot="1">
      <c r="A67" s="840"/>
      <c r="B67" s="669"/>
      <c r="C67" s="669"/>
      <c r="D67" s="669"/>
      <c r="E67" s="669"/>
      <c r="F67" s="669"/>
      <c r="G67" s="669"/>
      <c r="H67" s="669"/>
      <c r="I67" s="669"/>
      <c r="J67" s="669"/>
      <c r="K67" s="669"/>
      <c r="L67" s="669"/>
      <c r="M67" s="669"/>
      <c r="N67" s="216"/>
      <c r="O67" s="667"/>
      <c r="P67" s="551" t="s">
        <v>813</v>
      </c>
      <c r="Q67" s="551" t="s">
        <v>17</v>
      </c>
      <c r="R67" s="551">
        <v>1</v>
      </c>
      <c r="S67" s="551">
        <v>1</v>
      </c>
      <c r="T67" s="551">
        <v>0</v>
      </c>
      <c r="U67" s="551">
        <v>0</v>
      </c>
      <c r="V67" s="536">
        <v>0</v>
      </c>
      <c r="W67" s="713"/>
      <c r="X67" s="715"/>
      <c r="Y67" s="671"/>
      <c r="Z67" s="671"/>
      <c r="AA67" s="507"/>
      <c r="AB67" s="507"/>
      <c r="AC67" s="507"/>
      <c r="AD67" s="80"/>
      <c r="AE67" s="342"/>
      <c r="AF67" s="80"/>
      <c r="AG67" s="80"/>
      <c r="AH67" s="593"/>
      <c r="AI67" s="593"/>
      <c r="AJ67" s="593"/>
      <c r="AK67" s="593"/>
      <c r="AL67" s="593"/>
      <c r="AM67" s="593"/>
      <c r="AN67" s="593"/>
      <c r="AO67" s="593"/>
      <c r="AP67" s="593"/>
      <c r="AQ67" s="593"/>
      <c r="AR67" s="593"/>
      <c r="AS67" s="219"/>
      <c r="AT67" s="219"/>
      <c r="AU67" s="701"/>
    </row>
    <row r="68" spans="1:47" s="1" customFormat="1" ht="68.25" customHeight="1" thickBot="1">
      <c r="A68" s="840"/>
      <c r="B68" s="669"/>
      <c r="C68" s="669"/>
      <c r="D68" s="669"/>
      <c r="E68" s="669"/>
      <c r="F68" s="669"/>
      <c r="G68" s="669"/>
      <c r="H68" s="669"/>
      <c r="I68" s="669"/>
      <c r="J68" s="670"/>
      <c r="K68" s="670"/>
      <c r="L68" s="670"/>
      <c r="M68" s="670"/>
      <c r="N68" s="76"/>
      <c r="O68" s="667"/>
      <c r="P68" s="551" t="s">
        <v>814</v>
      </c>
      <c r="Q68" s="551" t="s">
        <v>17</v>
      </c>
      <c r="R68" s="551">
        <v>1</v>
      </c>
      <c r="S68" s="551">
        <v>1</v>
      </c>
      <c r="T68" s="551">
        <v>0</v>
      </c>
      <c r="U68" s="551">
        <v>0</v>
      </c>
      <c r="V68" s="536">
        <v>0</v>
      </c>
      <c r="W68" s="713"/>
      <c r="X68" s="715"/>
      <c r="Y68" s="671"/>
      <c r="Z68" s="671"/>
      <c r="AA68" s="507"/>
      <c r="AB68" s="507"/>
      <c r="AC68" s="507"/>
      <c r="AD68" s="80"/>
      <c r="AE68" s="342"/>
      <c r="AF68" s="80"/>
      <c r="AG68" s="80"/>
      <c r="AH68" s="250"/>
      <c r="AI68" s="250"/>
      <c r="AJ68" s="250"/>
      <c r="AK68" s="250"/>
      <c r="AL68" s="250"/>
      <c r="AM68" s="250"/>
      <c r="AN68" s="250"/>
      <c r="AO68" s="250"/>
      <c r="AP68" s="250"/>
      <c r="AQ68" s="250"/>
      <c r="AR68" s="250"/>
      <c r="AS68" s="73"/>
      <c r="AT68" s="73"/>
      <c r="AU68" s="701"/>
    </row>
    <row r="69" spans="1:47" s="1" customFormat="1" ht="68.25" customHeight="1" thickBot="1">
      <c r="A69" s="840"/>
      <c r="B69" s="669"/>
      <c r="C69" s="669"/>
      <c r="D69" s="669"/>
      <c r="E69" s="670"/>
      <c r="F69" s="670"/>
      <c r="G69" s="670"/>
      <c r="H69" s="670"/>
      <c r="I69" s="670"/>
      <c r="J69" s="668" t="s">
        <v>141</v>
      </c>
      <c r="K69" s="668" t="s">
        <v>17</v>
      </c>
      <c r="L69" s="668" t="s">
        <v>51</v>
      </c>
      <c r="M69" s="668">
        <v>1</v>
      </c>
      <c r="N69" s="523"/>
      <c r="O69" s="667"/>
      <c r="P69" s="551" t="s">
        <v>815</v>
      </c>
      <c r="Q69" s="551" t="s">
        <v>17</v>
      </c>
      <c r="R69" s="551">
        <v>1</v>
      </c>
      <c r="S69" s="551">
        <v>0</v>
      </c>
      <c r="T69" s="551">
        <v>1</v>
      </c>
      <c r="U69" s="551">
        <v>0</v>
      </c>
      <c r="V69" s="536">
        <v>0</v>
      </c>
      <c r="W69" s="713"/>
      <c r="X69" s="715"/>
      <c r="Y69" s="671"/>
      <c r="Z69" s="671"/>
      <c r="AA69" s="655"/>
      <c r="AB69" s="507"/>
      <c r="AC69" s="507"/>
      <c r="AD69" s="80"/>
      <c r="AE69" s="342"/>
      <c r="AF69" s="80"/>
      <c r="AG69" s="80"/>
      <c r="AH69" s="250"/>
      <c r="AI69" s="250"/>
      <c r="AJ69" s="250"/>
      <c r="AK69" s="250"/>
      <c r="AL69" s="250"/>
      <c r="AM69" s="250"/>
      <c r="AN69" s="250"/>
      <c r="AO69" s="250"/>
      <c r="AP69" s="250"/>
      <c r="AQ69" s="250"/>
      <c r="AR69" s="250"/>
      <c r="AS69" s="73" t="s">
        <v>342</v>
      </c>
      <c r="AT69" s="73" t="s">
        <v>342</v>
      </c>
      <c r="AU69" s="701"/>
    </row>
    <row r="70" spans="1:47" s="1" customFormat="1" ht="72.75" customHeight="1" thickBot="1">
      <c r="A70" s="840"/>
      <c r="B70" s="669"/>
      <c r="C70" s="669"/>
      <c r="D70" s="669"/>
      <c r="E70" s="206"/>
      <c r="F70" s="206"/>
      <c r="G70" s="206"/>
      <c r="H70" s="206"/>
      <c r="I70" s="205"/>
      <c r="J70" s="669"/>
      <c r="K70" s="669"/>
      <c r="L70" s="669"/>
      <c r="M70" s="669"/>
      <c r="N70" s="216"/>
      <c r="O70" s="667"/>
      <c r="P70" s="551" t="s">
        <v>816</v>
      </c>
      <c r="Q70" s="551" t="s">
        <v>17</v>
      </c>
      <c r="R70" s="551">
        <v>1</v>
      </c>
      <c r="S70" s="551">
        <v>0</v>
      </c>
      <c r="T70" s="551">
        <v>0</v>
      </c>
      <c r="U70" s="551">
        <v>1</v>
      </c>
      <c r="V70" s="536">
        <v>0</v>
      </c>
      <c r="W70" s="713"/>
      <c r="X70" s="715"/>
      <c r="Y70" s="671"/>
      <c r="Z70" s="671"/>
      <c r="AA70" s="507"/>
      <c r="AB70" s="507"/>
      <c r="AC70" s="507"/>
      <c r="AD70" s="80"/>
      <c r="AE70" s="342"/>
      <c r="AF70" s="80"/>
      <c r="AG70" s="80"/>
      <c r="AH70" s="250"/>
      <c r="AI70" s="250"/>
      <c r="AJ70" s="250"/>
      <c r="AK70" s="250"/>
      <c r="AL70" s="250"/>
      <c r="AM70" s="250"/>
      <c r="AN70" s="250"/>
      <c r="AO70" s="250"/>
      <c r="AP70" s="250"/>
      <c r="AQ70" s="250"/>
      <c r="AR70" s="250"/>
      <c r="AS70" s="73"/>
      <c r="AT70" s="73"/>
      <c r="AU70" s="701"/>
    </row>
    <row r="71" spans="1:47" s="218" customFormat="1" ht="99.75" customHeight="1" thickBot="1">
      <c r="A71" s="840"/>
      <c r="B71" s="669"/>
      <c r="C71" s="669"/>
      <c r="D71" s="669"/>
      <c r="E71" s="220"/>
      <c r="F71" s="220"/>
      <c r="G71" s="220"/>
      <c r="H71" s="220"/>
      <c r="I71" s="234"/>
      <c r="J71" s="668" t="s">
        <v>874</v>
      </c>
      <c r="K71" s="668" t="s">
        <v>18</v>
      </c>
      <c r="L71" s="668">
        <v>95</v>
      </c>
      <c r="M71" s="668">
        <v>95</v>
      </c>
      <c r="N71" s="666"/>
      <c r="O71" s="668" t="s">
        <v>730</v>
      </c>
      <c r="P71" s="551" t="s">
        <v>817</v>
      </c>
      <c r="Q71" s="551" t="s">
        <v>17</v>
      </c>
      <c r="R71" s="551">
        <v>1</v>
      </c>
      <c r="S71" s="551">
        <v>0</v>
      </c>
      <c r="T71" s="551">
        <v>1</v>
      </c>
      <c r="U71" s="551">
        <v>0</v>
      </c>
      <c r="V71" s="536">
        <v>0</v>
      </c>
      <c r="W71" s="713"/>
      <c r="X71" s="715"/>
      <c r="Y71" s="671"/>
      <c r="Z71" s="671"/>
      <c r="AA71" s="507"/>
      <c r="AB71" s="507"/>
      <c r="AC71" s="507"/>
      <c r="AD71" s="80"/>
      <c r="AE71" s="342"/>
      <c r="AF71" s="80"/>
      <c r="AG71" s="80"/>
      <c r="AH71" s="250"/>
      <c r="AI71" s="250"/>
      <c r="AJ71" s="250"/>
      <c r="AK71" s="250"/>
      <c r="AL71" s="250"/>
      <c r="AM71" s="250"/>
      <c r="AN71" s="250"/>
      <c r="AO71" s="250"/>
      <c r="AP71" s="250"/>
      <c r="AQ71" s="250"/>
      <c r="AR71" s="250"/>
      <c r="AS71" s="219"/>
      <c r="AT71" s="219"/>
      <c r="AU71" s="701"/>
    </row>
    <row r="72" spans="1:47" s="1" customFormat="1" ht="156.75" customHeight="1" thickBot="1">
      <c r="A72" s="840"/>
      <c r="B72" s="669"/>
      <c r="C72" s="669"/>
      <c r="D72" s="669"/>
      <c r="E72" s="77" t="s">
        <v>136</v>
      </c>
      <c r="F72" s="78" t="s">
        <v>53</v>
      </c>
      <c r="G72" s="78">
        <v>20</v>
      </c>
      <c r="H72" s="78">
        <v>80</v>
      </c>
      <c r="I72" s="668" t="s">
        <v>143</v>
      </c>
      <c r="J72" s="669"/>
      <c r="K72" s="669"/>
      <c r="L72" s="669">
        <v>95</v>
      </c>
      <c r="M72" s="669">
        <v>95</v>
      </c>
      <c r="N72" s="667"/>
      <c r="O72" s="669" t="s">
        <v>156</v>
      </c>
      <c r="P72" s="551" t="s">
        <v>818</v>
      </c>
      <c r="Q72" s="551" t="s">
        <v>17</v>
      </c>
      <c r="R72" s="551">
        <v>1</v>
      </c>
      <c r="S72" s="551">
        <v>0</v>
      </c>
      <c r="T72" s="551">
        <v>1</v>
      </c>
      <c r="U72" s="551">
        <v>0</v>
      </c>
      <c r="V72" s="536">
        <v>0</v>
      </c>
      <c r="W72" s="713"/>
      <c r="X72" s="715"/>
      <c r="Y72" s="671"/>
      <c r="Z72" s="671"/>
      <c r="AA72" s="507"/>
      <c r="AB72" s="507"/>
      <c r="AC72" s="507"/>
      <c r="AD72" s="80"/>
      <c r="AE72" s="342"/>
      <c r="AF72" s="80"/>
      <c r="AG72" s="80"/>
      <c r="AH72" s="250"/>
      <c r="AI72" s="250"/>
      <c r="AJ72" s="250"/>
      <c r="AK72" s="250"/>
      <c r="AL72" s="250"/>
      <c r="AM72" s="250"/>
      <c r="AN72" s="250"/>
      <c r="AO72" s="250"/>
      <c r="AP72" s="250"/>
      <c r="AQ72" s="250"/>
      <c r="AR72" s="250"/>
      <c r="AS72" s="73" t="s">
        <v>342</v>
      </c>
      <c r="AT72" s="73" t="s">
        <v>342</v>
      </c>
      <c r="AU72" s="701"/>
    </row>
    <row r="73" spans="1:47" s="1" customFormat="1" ht="120.75" customHeight="1" thickBot="1">
      <c r="A73" s="840"/>
      <c r="B73" s="669"/>
      <c r="C73" s="669"/>
      <c r="D73" s="669"/>
      <c r="E73" s="217"/>
      <c r="F73" s="207"/>
      <c r="G73" s="207"/>
      <c r="H73" s="207"/>
      <c r="I73" s="669"/>
      <c r="J73" s="670"/>
      <c r="K73" s="670"/>
      <c r="L73" s="670"/>
      <c r="M73" s="670"/>
      <c r="N73" s="667"/>
      <c r="O73" s="669"/>
      <c r="P73" s="551" t="s">
        <v>819</v>
      </c>
      <c r="Q73" s="551">
        <v>1</v>
      </c>
      <c r="R73" s="551" t="s">
        <v>513</v>
      </c>
      <c r="S73" s="551">
        <v>0</v>
      </c>
      <c r="T73" s="551">
        <v>0</v>
      </c>
      <c r="U73" s="551">
        <v>1</v>
      </c>
      <c r="V73" s="536">
        <v>0</v>
      </c>
      <c r="W73" s="713"/>
      <c r="X73" s="715"/>
      <c r="Y73" s="671"/>
      <c r="Z73" s="671"/>
      <c r="AA73" s="655"/>
      <c r="AB73" s="507"/>
      <c r="AC73" s="507"/>
      <c r="AD73" s="80"/>
      <c r="AE73" s="342"/>
      <c r="AF73" s="80"/>
      <c r="AG73" s="80"/>
      <c r="AH73" s="250"/>
      <c r="AI73" s="250"/>
      <c r="AJ73" s="250"/>
      <c r="AK73" s="250"/>
      <c r="AL73" s="250"/>
      <c r="AM73" s="250"/>
      <c r="AN73" s="250"/>
      <c r="AO73" s="250"/>
      <c r="AP73" s="250"/>
      <c r="AQ73" s="250"/>
      <c r="AR73" s="250"/>
      <c r="AS73" s="73"/>
      <c r="AT73" s="73"/>
      <c r="AU73" s="701"/>
    </row>
    <row r="74" spans="1:47" s="1" customFormat="1" ht="36" customHeight="1" thickBot="1">
      <c r="A74" s="840"/>
      <c r="B74" s="669"/>
      <c r="C74" s="669"/>
      <c r="D74" s="669"/>
      <c r="E74" s="217"/>
      <c r="F74" s="207"/>
      <c r="G74" s="207"/>
      <c r="H74" s="207"/>
      <c r="I74" s="669"/>
      <c r="J74" s="668" t="s">
        <v>145</v>
      </c>
      <c r="K74" s="668" t="s">
        <v>86</v>
      </c>
      <c r="L74" s="666">
        <v>9.57</v>
      </c>
      <c r="M74" s="666">
        <v>9.57</v>
      </c>
      <c r="N74" s="667"/>
      <c r="O74" s="669"/>
      <c r="P74" s="551" t="s">
        <v>820</v>
      </c>
      <c r="Q74" s="551" t="s">
        <v>17</v>
      </c>
      <c r="R74" s="551">
        <v>1</v>
      </c>
      <c r="S74" s="551">
        <v>1</v>
      </c>
      <c r="T74" s="551">
        <v>1</v>
      </c>
      <c r="U74" s="551">
        <v>1</v>
      </c>
      <c r="V74" s="536">
        <v>1</v>
      </c>
      <c r="W74" s="713"/>
      <c r="X74" s="715"/>
      <c r="Y74" s="671"/>
      <c r="Z74" s="671"/>
      <c r="AA74" s="507"/>
      <c r="AB74" s="507"/>
      <c r="AC74" s="507"/>
      <c r="AD74" s="80"/>
      <c r="AE74" s="342"/>
      <c r="AF74" s="80"/>
      <c r="AG74" s="80"/>
      <c r="AH74" s="250"/>
      <c r="AI74" s="250"/>
      <c r="AJ74" s="250"/>
      <c r="AK74" s="250"/>
      <c r="AL74" s="250"/>
      <c r="AM74" s="250"/>
      <c r="AN74" s="250"/>
      <c r="AO74" s="250"/>
      <c r="AP74" s="250"/>
      <c r="AQ74" s="250"/>
      <c r="AR74" s="250"/>
      <c r="AS74" s="73"/>
      <c r="AT74" s="73"/>
      <c r="AU74" s="701"/>
    </row>
    <row r="75" spans="1:47" s="1" customFormat="1" ht="57.75" thickBot="1">
      <c r="A75" s="840"/>
      <c r="B75" s="669"/>
      <c r="C75" s="669"/>
      <c r="D75" s="669"/>
      <c r="E75" s="668" t="s">
        <v>315</v>
      </c>
      <c r="F75" s="668" t="s">
        <v>17</v>
      </c>
      <c r="G75" s="668">
        <v>2</v>
      </c>
      <c r="H75" s="668">
        <v>8</v>
      </c>
      <c r="I75" s="669"/>
      <c r="J75" s="670"/>
      <c r="K75" s="670"/>
      <c r="L75" s="674"/>
      <c r="M75" s="674"/>
      <c r="N75" s="667"/>
      <c r="O75" s="669"/>
      <c r="P75" s="551" t="s">
        <v>827</v>
      </c>
      <c r="Q75" s="551" t="s">
        <v>358</v>
      </c>
      <c r="R75" s="551">
        <v>100</v>
      </c>
      <c r="S75" s="551">
        <v>100</v>
      </c>
      <c r="T75" s="551">
        <v>100</v>
      </c>
      <c r="U75" s="551">
        <v>100</v>
      </c>
      <c r="V75" s="536">
        <v>100</v>
      </c>
      <c r="W75" s="713"/>
      <c r="X75" s="715"/>
      <c r="Y75" s="671"/>
      <c r="Z75" s="671"/>
      <c r="AA75" s="507"/>
      <c r="AB75" s="507"/>
      <c r="AC75" s="507"/>
      <c r="AD75" s="80"/>
      <c r="AE75" s="342"/>
      <c r="AF75" s="80"/>
      <c r="AG75" s="80"/>
      <c r="AH75" s="250"/>
      <c r="AI75" s="250"/>
      <c r="AJ75" s="250"/>
      <c r="AK75" s="250"/>
      <c r="AL75" s="250"/>
      <c r="AM75" s="250"/>
      <c r="AN75" s="250"/>
      <c r="AO75" s="250"/>
      <c r="AP75" s="250"/>
      <c r="AQ75" s="250"/>
      <c r="AR75" s="250"/>
      <c r="AS75" s="73" t="s">
        <v>342</v>
      </c>
      <c r="AT75" s="73" t="s">
        <v>342</v>
      </c>
      <c r="AU75" s="701"/>
    </row>
    <row r="76" spans="1:47" s="1" customFormat="1" ht="15" thickBot="1">
      <c r="A76" s="840"/>
      <c r="B76" s="669"/>
      <c r="C76" s="669"/>
      <c r="D76" s="669"/>
      <c r="E76" s="669"/>
      <c r="F76" s="669"/>
      <c r="G76" s="669"/>
      <c r="H76" s="669"/>
      <c r="I76" s="669"/>
      <c r="J76" s="668" t="s">
        <v>146</v>
      </c>
      <c r="K76" s="668" t="s">
        <v>86</v>
      </c>
      <c r="L76" s="666">
        <v>10.9</v>
      </c>
      <c r="M76" s="666">
        <v>10</v>
      </c>
      <c r="N76" s="667"/>
      <c r="O76" s="669"/>
      <c r="P76" s="551" t="s">
        <v>820</v>
      </c>
      <c r="Q76" s="551" t="s">
        <v>17</v>
      </c>
      <c r="R76" s="551">
        <v>1</v>
      </c>
      <c r="S76" s="551">
        <v>1</v>
      </c>
      <c r="T76" s="551">
        <v>1</v>
      </c>
      <c r="U76" s="551">
        <v>1</v>
      </c>
      <c r="V76" s="536">
        <v>1</v>
      </c>
      <c r="W76" s="713"/>
      <c r="X76" s="715"/>
      <c r="Y76" s="671"/>
      <c r="Z76" s="671"/>
      <c r="AA76" s="655"/>
      <c r="AB76" s="507"/>
      <c r="AC76" s="507"/>
      <c r="AD76" s="80"/>
      <c r="AE76" s="342"/>
      <c r="AF76" s="80"/>
      <c r="AG76" s="80"/>
      <c r="AH76" s="250"/>
      <c r="AI76" s="250"/>
      <c r="AJ76" s="250"/>
      <c r="AK76" s="250"/>
      <c r="AL76" s="250"/>
      <c r="AM76" s="250"/>
      <c r="AN76" s="250"/>
      <c r="AO76" s="250"/>
      <c r="AP76" s="250"/>
      <c r="AQ76" s="250"/>
      <c r="AR76" s="250"/>
      <c r="AS76" s="73"/>
      <c r="AT76" s="73"/>
      <c r="AU76" s="701"/>
    </row>
    <row r="77" spans="1:47" s="1" customFormat="1" ht="43.5" thickBot="1">
      <c r="A77" s="840"/>
      <c r="B77" s="669"/>
      <c r="C77" s="669"/>
      <c r="D77" s="669"/>
      <c r="E77" s="669"/>
      <c r="F77" s="669"/>
      <c r="G77" s="669"/>
      <c r="H77" s="669"/>
      <c r="I77" s="669"/>
      <c r="J77" s="669"/>
      <c r="K77" s="669"/>
      <c r="L77" s="667"/>
      <c r="M77" s="667"/>
      <c r="N77" s="667"/>
      <c r="O77" s="669"/>
      <c r="P77" s="551" t="s">
        <v>826</v>
      </c>
      <c r="Q77" s="551" t="s">
        <v>358</v>
      </c>
      <c r="R77" s="551">
        <v>100</v>
      </c>
      <c r="S77" s="551">
        <v>100</v>
      </c>
      <c r="T77" s="551">
        <v>100</v>
      </c>
      <c r="U77" s="551">
        <v>100</v>
      </c>
      <c r="V77" s="536">
        <v>100</v>
      </c>
      <c r="W77" s="713"/>
      <c r="X77" s="715"/>
      <c r="Y77" s="671"/>
      <c r="Z77" s="671"/>
      <c r="AA77" s="507"/>
      <c r="AB77" s="507"/>
      <c r="AC77" s="507"/>
      <c r="AD77" s="80"/>
      <c r="AE77" s="342"/>
      <c r="AF77" s="80"/>
      <c r="AG77" s="80"/>
      <c r="AH77" s="250"/>
      <c r="AI77" s="250"/>
      <c r="AJ77" s="250"/>
      <c r="AK77" s="250"/>
      <c r="AL77" s="250"/>
      <c r="AM77" s="250"/>
      <c r="AN77" s="250"/>
      <c r="AO77" s="250"/>
      <c r="AP77" s="250"/>
      <c r="AQ77" s="250"/>
      <c r="AR77" s="250"/>
      <c r="AS77" s="73"/>
      <c r="AT77" s="73"/>
      <c r="AU77" s="701"/>
    </row>
    <row r="78" spans="1:47" s="1" customFormat="1" ht="31.5" customHeight="1" thickBot="1">
      <c r="A78" s="840"/>
      <c r="B78" s="669"/>
      <c r="C78" s="669"/>
      <c r="D78" s="669"/>
      <c r="E78" s="669"/>
      <c r="F78" s="669"/>
      <c r="G78" s="669"/>
      <c r="H78" s="669"/>
      <c r="I78" s="669"/>
      <c r="J78" s="668" t="s">
        <v>147</v>
      </c>
      <c r="K78" s="668" t="s">
        <v>86</v>
      </c>
      <c r="L78" s="666">
        <v>13.2</v>
      </c>
      <c r="M78" s="666">
        <v>12</v>
      </c>
      <c r="N78" s="667"/>
      <c r="O78" s="669"/>
      <c r="P78" s="551" t="s">
        <v>820</v>
      </c>
      <c r="Q78" s="551" t="s">
        <v>17</v>
      </c>
      <c r="R78" s="551">
        <v>1</v>
      </c>
      <c r="S78" s="551">
        <v>1</v>
      </c>
      <c r="T78" s="551">
        <v>1</v>
      </c>
      <c r="U78" s="551">
        <v>1</v>
      </c>
      <c r="V78" s="536">
        <v>1</v>
      </c>
      <c r="W78" s="713"/>
      <c r="X78" s="715"/>
      <c r="Y78" s="671"/>
      <c r="Z78" s="671"/>
      <c r="AA78" s="655"/>
      <c r="AB78" s="507"/>
      <c r="AC78" s="507"/>
      <c r="AD78" s="80"/>
      <c r="AE78" s="342"/>
      <c r="AF78" s="80"/>
      <c r="AG78" s="80"/>
      <c r="AH78" s="250"/>
      <c r="AI78" s="250"/>
      <c r="AJ78" s="250"/>
      <c r="AK78" s="250"/>
      <c r="AL78" s="250"/>
      <c r="AM78" s="250"/>
      <c r="AN78" s="250"/>
      <c r="AO78" s="250"/>
      <c r="AP78" s="250"/>
      <c r="AQ78" s="250"/>
      <c r="AR78" s="250"/>
      <c r="AS78" s="73"/>
      <c r="AT78" s="73"/>
      <c r="AU78" s="701"/>
    </row>
    <row r="79" spans="1:47" s="1" customFormat="1" ht="43.5" thickBot="1">
      <c r="A79" s="840"/>
      <c r="B79" s="669"/>
      <c r="C79" s="669"/>
      <c r="D79" s="669"/>
      <c r="E79" s="669"/>
      <c r="F79" s="669"/>
      <c r="G79" s="669"/>
      <c r="H79" s="669"/>
      <c r="I79" s="669"/>
      <c r="J79" s="669"/>
      <c r="K79" s="669"/>
      <c r="L79" s="667"/>
      <c r="M79" s="667"/>
      <c r="N79" s="667"/>
      <c r="O79" s="669"/>
      <c r="P79" s="551" t="s">
        <v>825</v>
      </c>
      <c r="Q79" s="551" t="s">
        <v>358</v>
      </c>
      <c r="R79" s="551">
        <v>100</v>
      </c>
      <c r="S79" s="551">
        <v>100</v>
      </c>
      <c r="T79" s="551">
        <v>100</v>
      </c>
      <c r="U79" s="551">
        <v>100</v>
      </c>
      <c r="V79" s="536">
        <v>100</v>
      </c>
      <c r="W79" s="713"/>
      <c r="X79" s="715"/>
      <c r="Y79" s="671"/>
      <c r="Z79" s="671"/>
      <c r="AA79" s="507"/>
      <c r="AB79" s="507"/>
      <c r="AC79" s="507"/>
      <c r="AD79" s="80"/>
      <c r="AE79" s="342"/>
      <c r="AF79" s="80"/>
      <c r="AG79" s="80"/>
      <c r="AH79" s="250"/>
      <c r="AI79" s="250"/>
      <c r="AJ79" s="250"/>
      <c r="AK79" s="250"/>
      <c r="AL79" s="250"/>
      <c r="AM79" s="250"/>
      <c r="AN79" s="250"/>
      <c r="AO79" s="250"/>
      <c r="AP79" s="250"/>
      <c r="AQ79" s="250"/>
      <c r="AR79" s="250"/>
      <c r="AS79" s="73"/>
      <c r="AT79" s="73"/>
      <c r="AU79" s="701"/>
    </row>
    <row r="80" spans="1:47" s="1" customFormat="1" ht="35.25" customHeight="1" thickBot="1">
      <c r="A80" s="840"/>
      <c r="B80" s="669"/>
      <c r="C80" s="669"/>
      <c r="D80" s="669"/>
      <c r="E80" s="669"/>
      <c r="F80" s="669"/>
      <c r="G80" s="669"/>
      <c r="H80" s="669"/>
      <c r="I80" s="669"/>
      <c r="J80" s="668" t="s">
        <v>148</v>
      </c>
      <c r="K80" s="668" t="s">
        <v>86</v>
      </c>
      <c r="L80" s="666">
        <v>15</v>
      </c>
      <c r="M80" s="666">
        <v>15</v>
      </c>
      <c r="N80" s="667"/>
      <c r="O80" s="669"/>
      <c r="P80" s="551" t="s">
        <v>820</v>
      </c>
      <c r="Q80" s="551" t="s">
        <v>17</v>
      </c>
      <c r="R80" s="551">
        <v>1</v>
      </c>
      <c r="S80" s="551">
        <v>1</v>
      </c>
      <c r="T80" s="551">
        <v>1</v>
      </c>
      <c r="U80" s="551">
        <v>1</v>
      </c>
      <c r="V80" s="536">
        <v>1</v>
      </c>
      <c r="W80" s="713"/>
      <c r="X80" s="715"/>
      <c r="Y80" s="671"/>
      <c r="Z80" s="671"/>
      <c r="AA80" s="655"/>
      <c r="AB80" s="507"/>
      <c r="AC80" s="507"/>
      <c r="AD80" s="80"/>
      <c r="AE80" s="342"/>
      <c r="AF80" s="80"/>
      <c r="AG80" s="80"/>
      <c r="AH80" s="250"/>
      <c r="AI80" s="250"/>
      <c r="AJ80" s="250"/>
      <c r="AK80" s="250"/>
      <c r="AL80" s="250"/>
      <c r="AM80" s="250"/>
      <c r="AN80" s="250"/>
      <c r="AO80" s="250"/>
      <c r="AP80" s="250"/>
      <c r="AQ80" s="250"/>
      <c r="AR80" s="250"/>
      <c r="AS80" s="73"/>
      <c r="AT80" s="73"/>
      <c r="AU80" s="701"/>
    </row>
    <row r="81" spans="1:47" s="1" customFormat="1" ht="43.5" thickBot="1">
      <c r="A81" s="840"/>
      <c r="B81" s="669"/>
      <c r="C81" s="669"/>
      <c r="D81" s="669"/>
      <c r="E81" s="669"/>
      <c r="F81" s="669"/>
      <c r="G81" s="669"/>
      <c r="H81" s="669"/>
      <c r="I81" s="669"/>
      <c r="J81" s="669"/>
      <c r="K81" s="669"/>
      <c r="L81" s="667"/>
      <c r="M81" s="667"/>
      <c r="N81" s="667"/>
      <c r="O81" s="669"/>
      <c r="P81" s="551" t="s">
        <v>824</v>
      </c>
      <c r="Q81" s="551" t="s">
        <v>358</v>
      </c>
      <c r="R81" s="551">
        <v>100</v>
      </c>
      <c r="S81" s="551">
        <v>100</v>
      </c>
      <c r="T81" s="551">
        <v>100</v>
      </c>
      <c r="U81" s="551">
        <v>100</v>
      </c>
      <c r="V81" s="536">
        <v>100</v>
      </c>
      <c r="W81" s="713"/>
      <c r="X81" s="715"/>
      <c r="Y81" s="671"/>
      <c r="Z81" s="671"/>
      <c r="AA81" s="507"/>
      <c r="AB81" s="507"/>
      <c r="AC81" s="507"/>
      <c r="AD81" s="80"/>
      <c r="AE81" s="342"/>
      <c r="AF81" s="80"/>
      <c r="AG81" s="80"/>
      <c r="AH81" s="250"/>
      <c r="AI81" s="250"/>
      <c r="AJ81" s="250"/>
      <c r="AK81" s="250"/>
      <c r="AL81" s="250"/>
      <c r="AM81" s="250"/>
      <c r="AN81" s="250"/>
      <c r="AO81" s="250"/>
      <c r="AP81" s="250"/>
      <c r="AQ81" s="250"/>
      <c r="AR81" s="250"/>
      <c r="AS81" s="73"/>
      <c r="AT81" s="73"/>
      <c r="AU81" s="701"/>
    </row>
    <row r="82" spans="1:47" s="1" customFormat="1" ht="29.25" thickBot="1">
      <c r="A82" s="840"/>
      <c r="B82" s="669"/>
      <c r="C82" s="669"/>
      <c r="D82" s="669"/>
      <c r="E82" s="669"/>
      <c r="F82" s="669"/>
      <c r="G82" s="669"/>
      <c r="H82" s="669"/>
      <c r="I82" s="669"/>
      <c r="J82" s="668" t="s">
        <v>149</v>
      </c>
      <c r="K82" s="668" t="s">
        <v>150</v>
      </c>
      <c r="L82" s="666">
        <v>21</v>
      </c>
      <c r="M82" s="666">
        <v>21</v>
      </c>
      <c r="N82" s="667"/>
      <c r="O82" s="669"/>
      <c r="P82" s="551" t="s">
        <v>820</v>
      </c>
      <c r="Q82" s="551" t="s">
        <v>17</v>
      </c>
      <c r="R82" s="551">
        <v>1</v>
      </c>
      <c r="S82" s="551">
        <v>1</v>
      </c>
      <c r="T82" s="551">
        <v>1</v>
      </c>
      <c r="U82" s="551">
        <v>1</v>
      </c>
      <c r="V82" s="536">
        <v>1</v>
      </c>
      <c r="W82" s="713"/>
      <c r="X82" s="715"/>
      <c r="Y82" s="671"/>
      <c r="Z82" s="671"/>
      <c r="AA82" s="507"/>
      <c r="AB82" s="507"/>
      <c r="AC82" s="507"/>
      <c r="AD82" s="80"/>
      <c r="AE82" s="342"/>
      <c r="AF82" s="80"/>
      <c r="AG82" s="80"/>
      <c r="AH82" s="250"/>
      <c r="AI82" s="250"/>
      <c r="AJ82" s="250"/>
      <c r="AK82" s="250"/>
      <c r="AL82" s="250"/>
      <c r="AM82" s="250"/>
      <c r="AN82" s="250"/>
      <c r="AO82" s="250"/>
      <c r="AP82" s="250"/>
      <c r="AQ82" s="250"/>
      <c r="AR82" s="250"/>
      <c r="AS82" s="73" t="s">
        <v>342</v>
      </c>
      <c r="AT82" s="73" t="s">
        <v>342</v>
      </c>
      <c r="AU82" s="701"/>
    </row>
    <row r="83" spans="1:47" s="1" customFormat="1" ht="43.5" thickBot="1">
      <c r="A83" s="840"/>
      <c r="B83" s="669"/>
      <c r="C83" s="669"/>
      <c r="D83" s="669"/>
      <c r="E83" s="669"/>
      <c r="F83" s="669"/>
      <c r="G83" s="669"/>
      <c r="H83" s="669"/>
      <c r="I83" s="669"/>
      <c r="J83" s="669"/>
      <c r="K83" s="669"/>
      <c r="L83" s="667"/>
      <c r="M83" s="667"/>
      <c r="N83" s="667"/>
      <c r="O83" s="669"/>
      <c r="P83" s="551" t="s">
        <v>823</v>
      </c>
      <c r="Q83" s="551" t="s">
        <v>358</v>
      </c>
      <c r="R83" s="551">
        <v>100</v>
      </c>
      <c r="S83" s="551">
        <v>100</v>
      </c>
      <c r="T83" s="551">
        <v>100</v>
      </c>
      <c r="U83" s="551">
        <v>100</v>
      </c>
      <c r="V83" s="536">
        <v>100</v>
      </c>
      <c r="W83" s="713"/>
      <c r="X83" s="715"/>
      <c r="Y83" s="671"/>
      <c r="Z83" s="671"/>
      <c r="AA83" s="507"/>
      <c r="AB83" s="507"/>
      <c r="AC83" s="507"/>
      <c r="AD83" s="80"/>
      <c r="AE83" s="342"/>
      <c r="AF83" s="80"/>
      <c r="AG83" s="80"/>
      <c r="AH83" s="250"/>
      <c r="AI83" s="250"/>
      <c r="AJ83" s="250"/>
      <c r="AK83" s="250"/>
      <c r="AL83" s="250"/>
      <c r="AM83" s="250"/>
      <c r="AN83" s="250"/>
      <c r="AO83" s="250"/>
      <c r="AP83" s="250"/>
      <c r="AQ83" s="250"/>
      <c r="AR83" s="250"/>
      <c r="AS83" s="73"/>
      <c r="AT83" s="73"/>
      <c r="AU83" s="701"/>
    </row>
    <row r="84" spans="1:47" s="218" customFormat="1" ht="15" thickBot="1">
      <c r="A84" s="840"/>
      <c r="B84" s="669"/>
      <c r="C84" s="669"/>
      <c r="D84" s="669"/>
      <c r="E84" s="669"/>
      <c r="F84" s="669"/>
      <c r="G84" s="669"/>
      <c r="H84" s="669"/>
      <c r="I84" s="669"/>
      <c r="J84" s="669" t="s">
        <v>712</v>
      </c>
      <c r="K84" s="668" t="s">
        <v>18</v>
      </c>
      <c r="L84" s="666">
        <v>90</v>
      </c>
      <c r="M84" s="666">
        <v>90</v>
      </c>
      <c r="N84" s="667"/>
      <c r="O84" s="669"/>
      <c r="P84" s="551" t="s">
        <v>820</v>
      </c>
      <c r="Q84" s="551" t="s">
        <v>17</v>
      </c>
      <c r="R84" s="551">
        <v>1</v>
      </c>
      <c r="S84" s="551">
        <v>1</v>
      </c>
      <c r="T84" s="551">
        <v>1</v>
      </c>
      <c r="U84" s="551">
        <v>1</v>
      </c>
      <c r="V84" s="536">
        <v>1</v>
      </c>
      <c r="W84" s="713"/>
      <c r="X84" s="715"/>
      <c r="Y84" s="671"/>
      <c r="Z84" s="671"/>
      <c r="AA84" s="655"/>
      <c r="AB84" s="507"/>
      <c r="AC84" s="507"/>
      <c r="AD84" s="80"/>
      <c r="AE84" s="342"/>
      <c r="AF84" s="80"/>
      <c r="AG84" s="80"/>
      <c r="AH84" s="427"/>
      <c r="AI84" s="427"/>
      <c r="AJ84" s="427"/>
      <c r="AK84" s="427"/>
      <c r="AL84" s="427"/>
      <c r="AM84" s="427"/>
      <c r="AN84" s="427"/>
      <c r="AO84" s="427"/>
      <c r="AP84" s="427"/>
      <c r="AQ84" s="427"/>
      <c r="AR84" s="427"/>
      <c r="AS84" s="219"/>
      <c r="AT84" s="219"/>
      <c r="AU84" s="701"/>
    </row>
    <row r="85" spans="1:47" s="1" customFormat="1" ht="57.75" thickBot="1">
      <c r="A85" s="840"/>
      <c r="B85" s="669"/>
      <c r="C85" s="669"/>
      <c r="D85" s="669"/>
      <c r="E85" s="669"/>
      <c r="F85" s="669"/>
      <c r="G85" s="669"/>
      <c r="H85" s="669"/>
      <c r="I85" s="669"/>
      <c r="J85" s="669"/>
      <c r="K85" s="669"/>
      <c r="L85" s="667"/>
      <c r="M85" s="667"/>
      <c r="N85" s="667"/>
      <c r="O85" s="669"/>
      <c r="P85" s="551" t="s">
        <v>822</v>
      </c>
      <c r="Q85" s="551" t="s">
        <v>358</v>
      </c>
      <c r="R85" s="551">
        <v>100</v>
      </c>
      <c r="S85" s="551">
        <v>100</v>
      </c>
      <c r="T85" s="551">
        <v>100</v>
      </c>
      <c r="U85" s="551">
        <v>100</v>
      </c>
      <c r="V85" s="536">
        <v>100</v>
      </c>
      <c r="W85" s="713"/>
      <c r="X85" s="715"/>
      <c r="Y85" s="671"/>
      <c r="Z85" s="671"/>
      <c r="AA85" s="507"/>
      <c r="AB85" s="507"/>
      <c r="AC85" s="507"/>
      <c r="AD85" s="80"/>
      <c r="AE85" s="342"/>
      <c r="AF85" s="80"/>
      <c r="AG85" s="80"/>
      <c r="AH85" s="250"/>
      <c r="AI85" s="250"/>
      <c r="AJ85" s="250"/>
      <c r="AK85" s="250"/>
      <c r="AL85" s="250"/>
      <c r="AM85" s="250"/>
      <c r="AN85" s="250"/>
      <c r="AO85" s="250"/>
      <c r="AP85" s="250"/>
      <c r="AQ85" s="250"/>
      <c r="AR85" s="250"/>
      <c r="AS85" s="73" t="s">
        <v>342</v>
      </c>
      <c r="AT85" s="73" t="s">
        <v>342</v>
      </c>
      <c r="AU85" s="701"/>
    </row>
    <row r="86" spans="1:47" s="1" customFormat="1" ht="45" customHeight="1" thickBot="1">
      <c r="A86" s="840"/>
      <c r="B86" s="669"/>
      <c r="C86" s="669"/>
      <c r="D86" s="669"/>
      <c r="E86" s="669"/>
      <c r="F86" s="669"/>
      <c r="G86" s="669"/>
      <c r="H86" s="669"/>
      <c r="I86" s="669"/>
      <c r="J86" s="668" t="s">
        <v>152</v>
      </c>
      <c r="K86" s="668" t="s">
        <v>18</v>
      </c>
      <c r="L86" s="666">
        <v>85.1</v>
      </c>
      <c r="M86" s="666">
        <v>85</v>
      </c>
      <c r="N86" s="667"/>
      <c r="O86" s="669"/>
      <c r="P86" s="551" t="s">
        <v>820</v>
      </c>
      <c r="Q86" s="551" t="s">
        <v>17</v>
      </c>
      <c r="R86" s="551">
        <v>1</v>
      </c>
      <c r="S86" s="551">
        <v>1</v>
      </c>
      <c r="T86" s="551">
        <v>1</v>
      </c>
      <c r="U86" s="551">
        <v>1</v>
      </c>
      <c r="V86" s="536">
        <v>1</v>
      </c>
      <c r="W86" s="713"/>
      <c r="X86" s="715"/>
      <c r="Y86" s="671"/>
      <c r="Z86" s="671"/>
      <c r="AA86" s="507"/>
      <c r="AB86" s="507"/>
      <c r="AC86" s="507"/>
      <c r="AD86" s="80"/>
      <c r="AE86" s="342"/>
      <c r="AF86" s="80"/>
      <c r="AG86" s="80"/>
      <c r="AH86" s="250"/>
      <c r="AI86" s="250"/>
      <c r="AJ86" s="250"/>
      <c r="AK86" s="250"/>
      <c r="AL86" s="250"/>
      <c r="AM86" s="250"/>
      <c r="AN86" s="250"/>
      <c r="AO86" s="250"/>
      <c r="AP86" s="250"/>
      <c r="AQ86" s="250"/>
      <c r="AR86" s="250"/>
      <c r="AS86" s="73" t="s">
        <v>342</v>
      </c>
      <c r="AT86" s="73" t="s">
        <v>342</v>
      </c>
      <c r="AU86" s="701"/>
    </row>
    <row r="87" spans="1:47" s="1" customFormat="1" ht="70.5" customHeight="1" thickBot="1">
      <c r="A87" s="840"/>
      <c r="B87" s="669"/>
      <c r="C87" s="669"/>
      <c r="D87" s="669"/>
      <c r="E87" s="669"/>
      <c r="F87" s="669"/>
      <c r="G87" s="669"/>
      <c r="H87" s="669"/>
      <c r="I87" s="669"/>
      <c r="J87" s="669"/>
      <c r="K87" s="669"/>
      <c r="L87" s="667"/>
      <c r="M87" s="667"/>
      <c r="N87" s="667"/>
      <c r="O87" s="669"/>
      <c r="P87" s="551" t="s">
        <v>828</v>
      </c>
      <c r="Q87" s="551" t="s">
        <v>358</v>
      </c>
      <c r="R87" s="551">
        <v>100</v>
      </c>
      <c r="S87" s="551">
        <v>100</v>
      </c>
      <c r="T87" s="551">
        <v>100</v>
      </c>
      <c r="U87" s="551">
        <v>100</v>
      </c>
      <c r="V87" s="536">
        <v>100</v>
      </c>
      <c r="W87" s="713"/>
      <c r="X87" s="715"/>
      <c r="Y87" s="671"/>
      <c r="Z87" s="671"/>
      <c r="AA87" s="655"/>
      <c r="AB87" s="507"/>
      <c r="AC87" s="507"/>
      <c r="AD87" s="80"/>
      <c r="AE87" s="342"/>
      <c r="AF87" s="80"/>
      <c r="AG87" s="80"/>
      <c r="AH87" s="250"/>
      <c r="AI87" s="250"/>
      <c r="AJ87" s="250"/>
      <c r="AK87" s="250"/>
      <c r="AL87" s="250"/>
      <c r="AM87" s="250"/>
      <c r="AN87" s="250"/>
      <c r="AO87" s="250"/>
      <c r="AP87" s="250"/>
      <c r="AQ87" s="250"/>
      <c r="AR87" s="250"/>
      <c r="AS87" s="73"/>
      <c r="AT87" s="73"/>
      <c r="AU87" s="701"/>
    </row>
    <row r="88" spans="1:47" s="1" customFormat="1" ht="46.5" customHeight="1" thickBot="1">
      <c r="A88" s="840"/>
      <c r="B88" s="669"/>
      <c r="C88" s="669"/>
      <c r="D88" s="669"/>
      <c r="E88" s="669"/>
      <c r="F88" s="669"/>
      <c r="G88" s="669"/>
      <c r="H88" s="669"/>
      <c r="I88" s="669"/>
      <c r="J88" s="668" t="s">
        <v>153</v>
      </c>
      <c r="K88" s="668" t="s">
        <v>18</v>
      </c>
      <c r="L88" s="666">
        <v>95</v>
      </c>
      <c r="M88" s="666">
        <v>90</v>
      </c>
      <c r="N88" s="667"/>
      <c r="O88" s="669"/>
      <c r="P88" s="551" t="s">
        <v>820</v>
      </c>
      <c r="Q88" s="551" t="s">
        <v>17</v>
      </c>
      <c r="R88" s="551">
        <v>1</v>
      </c>
      <c r="S88" s="551">
        <v>1</v>
      </c>
      <c r="T88" s="551">
        <v>1</v>
      </c>
      <c r="U88" s="551">
        <v>1</v>
      </c>
      <c r="V88" s="536">
        <v>1</v>
      </c>
      <c r="W88" s="713"/>
      <c r="X88" s="715"/>
      <c r="Y88" s="671"/>
      <c r="Z88" s="671"/>
      <c r="AA88" s="507"/>
      <c r="AB88" s="507"/>
      <c r="AC88" s="507"/>
      <c r="AD88" s="80"/>
      <c r="AE88" s="342"/>
      <c r="AF88" s="80"/>
      <c r="AG88" s="80"/>
      <c r="AH88" s="250"/>
      <c r="AI88" s="250"/>
      <c r="AJ88" s="250"/>
      <c r="AK88" s="250"/>
      <c r="AL88" s="250"/>
      <c r="AM88" s="250"/>
      <c r="AN88" s="250"/>
      <c r="AO88" s="250"/>
      <c r="AP88" s="250"/>
      <c r="AQ88" s="250"/>
      <c r="AR88" s="250"/>
      <c r="AS88" s="73" t="s">
        <v>342</v>
      </c>
      <c r="AT88" s="73" t="s">
        <v>342</v>
      </c>
      <c r="AU88" s="701"/>
    </row>
    <row r="89" spans="1:47" s="1" customFormat="1" ht="46.5" customHeight="1" thickBot="1">
      <c r="A89" s="840"/>
      <c r="B89" s="669"/>
      <c r="C89" s="669"/>
      <c r="D89" s="669"/>
      <c r="E89" s="669"/>
      <c r="F89" s="669"/>
      <c r="G89" s="669"/>
      <c r="H89" s="669"/>
      <c r="I89" s="669"/>
      <c r="J89" s="669"/>
      <c r="K89" s="669"/>
      <c r="L89" s="667"/>
      <c r="M89" s="667"/>
      <c r="N89" s="667"/>
      <c r="O89" s="669"/>
      <c r="P89" s="551" t="s">
        <v>821</v>
      </c>
      <c r="Q89" s="551" t="s">
        <v>358</v>
      </c>
      <c r="R89" s="551">
        <v>100</v>
      </c>
      <c r="S89" s="551">
        <v>100</v>
      </c>
      <c r="T89" s="551">
        <v>100</v>
      </c>
      <c r="U89" s="551">
        <v>100</v>
      </c>
      <c r="V89" s="536">
        <v>100</v>
      </c>
      <c r="W89" s="713"/>
      <c r="X89" s="715"/>
      <c r="Y89" s="671"/>
      <c r="Z89" s="671"/>
      <c r="AA89" s="655"/>
      <c r="AB89" s="507"/>
      <c r="AC89" s="507"/>
      <c r="AD89" s="80"/>
      <c r="AE89" s="342"/>
      <c r="AF89" s="80"/>
      <c r="AG89" s="80"/>
      <c r="AH89" s="250"/>
      <c r="AI89" s="250"/>
      <c r="AJ89" s="250"/>
      <c r="AK89" s="250"/>
      <c r="AL89" s="250"/>
      <c r="AM89" s="250"/>
      <c r="AN89" s="250"/>
      <c r="AO89" s="250"/>
      <c r="AP89" s="250"/>
      <c r="AQ89" s="250"/>
      <c r="AR89" s="250"/>
      <c r="AS89" s="73"/>
      <c r="AT89" s="73"/>
      <c r="AU89" s="701"/>
    </row>
    <row r="90" spans="1:47" s="1" customFormat="1" ht="50.25" customHeight="1" thickBot="1">
      <c r="A90" s="840"/>
      <c r="B90" s="669"/>
      <c r="C90" s="669"/>
      <c r="D90" s="669"/>
      <c r="E90" s="668" t="s">
        <v>316</v>
      </c>
      <c r="F90" s="668" t="s">
        <v>53</v>
      </c>
      <c r="G90" s="668">
        <v>20</v>
      </c>
      <c r="H90" s="668">
        <v>80</v>
      </c>
      <c r="I90" s="669"/>
      <c r="J90" s="668" t="s">
        <v>154</v>
      </c>
      <c r="K90" s="668" t="s">
        <v>18</v>
      </c>
      <c r="L90" s="666">
        <v>100</v>
      </c>
      <c r="M90" s="666">
        <v>100</v>
      </c>
      <c r="N90" s="667"/>
      <c r="O90" s="669"/>
      <c r="P90" s="551" t="s">
        <v>820</v>
      </c>
      <c r="Q90" s="551" t="s">
        <v>17</v>
      </c>
      <c r="R90" s="551">
        <v>1</v>
      </c>
      <c r="S90" s="551">
        <v>1</v>
      </c>
      <c r="T90" s="551">
        <v>1</v>
      </c>
      <c r="U90" s="551">
        <v>1</v>
      </c>
      <c r="V90" s="536">
        <v>1</v>
      </c>
      <c r="W90" s="713"/>
      <c r="X90" s="715"/>
      <c r="Y90" s="671"/>
      <c r="Z90" s="671"/>
      <c r="AA90" s="507"/>
      <c r="AB90" s="507"/>
      <c r="AC90" s="507"/>
      <c r="AD90" s="80"/>
      <c r="AE90" s="342"/>
      <c r="AF90" s="80"/>
      <c r="AG90" s="80"/>
      <c r="AH90" s="250"/>
      <c r="AI90" s="250"/>
      <c r="AJ90" s="250"/>
      <c r="AK90" s="250"/>
      <c r="AL90" s="250"/>
      <c r="AM90" s="250"/>
      <c r="AN90" s="250"/>
      <c r="AO90" s="250"/>
      <c r="AP90" s="250"/>
      <c r="AQ90" s="250"/>
      <c r="AR90" s="250"/>
      <c r="AS90" s="73" t="s">
        <v>342</v>
      </c>
      <c r="AT90" s="73" t="s">
        <v>342</v>
      </c>
      <c r="AU90" s="701"/>
    </row>
    <row r="91" spans="1:47" s="1" customFormat="1" ht="72" customHeight="1" thickBot="1">
      <c r="A91" s="840"/>
      <c r="B91" s="669"/>
      <c r="C91" s="669"/>
      <c r="D91" s="669"/>
      <c r="E91" s="669"/>
      <c r="F91" s="669"/>
      <c r="G91" s="669"/>
      <c r="H91" s="669"/>
      <c r="I91" s="669"/>
      <c r="J91" s="670"/>
      <c r="K91" s="670"/>
      <c r="L91" s="674"/>
      <c r="M91" s="674"/>
      <c r="N91" s="667"/>
      <c r="O91" s="669"/>
      <c r="P91" s="551" t="s">
        <v>829</v>
      </c>
      <c r="Q91" s="551" t="s">
        <v>358</v>
      </c>
      <c r="R91" s="551">
        <v>100</v>
      </c>
      <c r="S91" s="551">
        <v>100</v>
      </c>
      <c r="T91" s="551">
        <v>100</v>
      </c>
      <c r="U91" s="551">
        <v>100</v>
      </c>
      <c r="V91" s="536">
        <v>100</v>
      </c>
      <c r="W91" s="713"/>
      <c r="X91" s="715"/>
      <c r="Y91" s="671"/>
      <c r="Z91" s="671"/>
      <c r="AA91" s="507"/>
      <c r="AB91" s="507"/>
      <c r="AC91" s="507"/>
      <c r="AD91" s="80"/>
      <c r="AE91" s="342"/>
      <c r="AF91" s="80"/>
      <c r="AG91" s="80"/>
      <c r="AH91" s="250"/>
      <c r="AI91" s="250"/>
      <c r="AJ91" s="250"/>
      <c r="AK91" s="250"/>
      <c r="AL91" s="250"/>
      <c r="AM91" s="250"/>
      <c r="AN91" s="250"/>
      <c r="AO91" s="250"/>
      <c r="AP91" s="250"/>
      <c r="AQ91" s="250"/>
      <c r="AR91" s="250"/>
      <c r="AS91" s="73"/>
      <c r="AT91" s="73"/>
      <c r="AU91" s="701"/>
    </row>
    <row r="92" spans="1:47" s="218" customFormat="1" ht="34.5" customHeight="1" thickBot="1">
      <c r="A92" s="840"/>
      <c r="B92" s="669"/>
      <c r="C92" s="669"/>
      <c r="D92" s="669"/>
      <c r="E92" s="669"/>
      <c r="F92" s="669"/>
      <c r="G92" s="669"/>
      <c r="H92" s="669"/>
      <c r="I92" s="669"/>
      <c r="J92" s="668" t="s">
        <v>155</v>
      </c>
      <c r="K92" s="668" t="s">
        <v>18</v>
      </c>
      <c r="L92" s="666">
        <v>1.4</v>
      </c>
      <c r="M92" s="666">
        <v>1.4</v>
      </c>
      <c r="N92" s="667"/>
      <c r="O92" s="669"/>
      <c r="P92" s="551" t="s">
        <v>820</v>
      </c>
      <c r="Q92" s="551" t="s">
        <v>17</v>
      </c>
      <c r="R92" s="551">
        <v>1</v>
      </c>
      <c r="S92" s="551">
        <v>1</v>
      </c>
      <c r="T92" s="551">
        <v>1</v>
      </c>
      <c r="U92" s="551">
        <v>1</v>
      </c>
      <c r="V92" s="536">
        <v>1</v>
      </c>
      <c r="W92" s="713"/>
      <c r="X92" s="715"/>
      <c r="Y92" s="671"/>
      <c r="Z92" s="671"/>
      <c r="AA92" s="507"/>
      <c r="AB92" s="507"/>
      <c r="AC92" s="507"/>
      <c r="AD92" s="80"/>
      <c r="AE92" s="342"/>
      <c r="AF92" s="80"/>
      <c r="AG92" s="80"/>
      <c r="AH92" s="593"/>
      <c r="AI92" s="593"/>
      <c r="AJ92" s="593"/>
      <c r="AK92" s="593"/>
      <c r="AL92" s="593"/>
      <c r="AM92" s="593"/>
      <c r="AN92" s="593"/>
      <c r="AO92" s="593"/>
      <c r="AP92" s="593"/>
      <c r="AQ92" s="593"/>
      <c r="AR92" s="593"/>
      <c r="AS92" s="219"/>
      <c r="AT92" s="219"/>
      <c r="AU92" s="701"/>
    </row>
    <row r="93" spans="1:47" s="1" customFormat="1" ht="61.5" customHeight="1" thickBot="1">
      <c r="A93" s="840"/>
      <c r="B93" s="669"/>
      <c r="C93" s="669"/>
      <c r="D93" s="669"/>
      <c r="E93" s="670"/>
      <c r="F93" s="670"/>
      <c r="G93" s="670"/>
      <c r="H93" s="670"/>
      <c r="I93" s="670"/>
      <c r="J93" s="670"/>
      <c r="K93" s="670"/>
      <c r="L93" s="674"/>
      <c r="M93" s="674"/>
      <c r="N93" s="674"/>
      <c r="O93" s="670"/>
      <c r="P93" s="551" t="s">
        <v>830</v>
      </c>
      <c r="Q93" s="551" t="s">
        <v>358</v>
      </c>
      <c r="R93" s="551">
        <v>100</v>
      </c>
      <c r="S93" s="551">
        <v>100</v>
      </c>
      <c r="T93" s="551">
        <v>100</v>
      </c>
      <c r="U93" s="551">
        <v>100</v>
      </c>
      <c r="V93" s="536">
        <v>100</v>
      </c>
      <c r="W93" s="714"/>
      <c r="X93" s="716"/>
      <c r="Y93" s="672"/>
      <c r="Z93" s="672"/>
      <c r="AA93" s="507"/>
      <c r="AB93" s="507"/>
      <c r="AC93" s="507"/>
      <c r="AD93" s="80"/>
      <c r="AE93" s="339"/>
      <c r="AF93" s="80"/>
      <c r="AG93" s="80"/>
      <c r="AH93" s="250"/>
      <c r="AI93" s="250"/>
      <c r="AJ93" s="250"/>
      <c r="AK93" s="250"/>
      <c r="AL93" s="250"/>
      <c r="AM93" s="250"/>
      <c r="AN93" s="250"/>
      <c r="AO93" s="250"/>
      <c r="AP93" s="250"/>
      <c r="AQ93" s="250"/>
      <c r="AR93" s="250"/>
      <c r="AS93" s="73" t="s">
        <v>342</v>
      </c>
      <c r="AT93" s="73" t="s">
        <v>342</v>
      </c>
      <c r="AU93" s="701"/>
    </row>
    <row r="94" spans="1:47" s="1" customFormat="1" ht="52.5" customHeight="1" thickBot="1">
      <c r="A94" s="840"/>
      <c r="B94" s="669"/>
      <c r="C94" s="669"/>
      <c r="D94" s="669"/>
      <c r="E94" s="668" t="s">
        <v>317</v>
      </c>
      <c r="F94" s="668" t="s">
        <v>53</v>
      </c>
      <c r="G94" s="668" t="s">
        <v>51</v>
      </c>
      <c r="H94" s="668">
        <v>90</v>
      </c>
      <c r="I94" s="668" t="s">
        <v>157</v>
      </c>
      <c r="J94" s="668" t="s">
        <v>158</v>
      </c>
      <c r="K94" s="668" t="s">
        <v>17</v>
      </c>
      <c r="L94" s="666" t="s">
        <v>51</v>
      </c>
      <c r="M94" s="666">
        <v>3489</v>
      </c>
      <c r="N94" s="666"/>
      <c r="O94" s="668" t="s">
        <v>159</v>
      </c>
      <c r="P94" s="551" t="s">
        <v>544</v>
      </c>
      <c r="Q94" s="551" t="s">
        <v>624</v>
      </c>
      <c r="R94" s="551">
        <v>2902</v>
      </c>
      <c r="S94" s="551">
        <v>1242</v>
      </c>
      <c r="T94" s="551">
        <v>1242</v>
      </c>
      <c r="U94" s="551">
        <v>418</v>
      </c>
      <c r="V94" s="535">
        <v>0</v>
      </c>
      <c r="W94" s="729" t="s">
        <v>779</v>
      </c>
      <c r="X94" s="729"/>
      <c r="Y94" s="673">
        <v>335796722</v>
      </c>
      <c r="Z94" s="673">
        <f>+Y94</f>
        <v>335796722</v>
      </c>
      <c r="AA94" s="224"/>
      <c r="AB94" s="224"/>
      <c r="AC94" s="224"/>
      <c r="AD94" s="176"/>
      <c r="AE94" s="339"/>
      <c r="AF94" s="176"/>
      <c r="AG94" s="176"/>
      <c r="AH94" s="236"/>
      <c r="AI94" s="236"/>
      <c r="AJ94" s="236"/>
      <c r="AK94" s="236"/>
      <c r="AL94" s="236"/>
      <c r="AM94" s="236"/>
      <c r="AN94" s="236"/>
      <c r="AO94" s="236"/>
      <c r="AP94" s="236"/>
      <c r="AQ94" s="236"/>
      <c r="AR94" s="236"/>
      <c r="AS94" s="73" t="s">
        <v>342</v>
      </c>
      <c r="AT94" s="73" t="s">
        <v>342</v>
      </c>
      <c r="AU94" s="701"/>
    </row>
    <row r="95" spans="1:47" s="1" customFormat="1" ht="58.5" customHeight="1" thickBot="1">
      <c r="A95" s="840"/>
      <c r="B95" s="669"/>
      <c r="C95" s="669"/>
      <c r="D95" s="669"/>
      <c r="E95" s="669"/>
      <c r="F95" s="669"/>
      <c r="G95" s="669"/>
      <c r="H95" s="669"/>
      <c r="I95" s="669"/>
      <c r="J95" s="669"/>
      <c r="K95" s="669"/>
      <c r="L95" s="667"/>
      <c r="M95" s="667"/>
      <c r="N95" s="667"/>
      <c r="O95" s="669"/>
      <c r="P95" s="551" t="s">
        <v>545</v>
      </c>
      <c r="Q95" s="551" t="s">
        <v>624</v>
      </c>
      <c r="R95" s="551">
        <v>587</v>
      </c>
      <c r="S95" s="551">
        <v>294</v>
      </c>
      <c r="T95" s="551">
        <v>293</v>
      </c>
      <c r="U95" s="551">
        <v>0</v>
      </c>
      <c r="V95" s="535">
        <v>0</v>
      </c>
      <c r="W95" s="730"/>
      <c r="X95" s="730"/>
      <c r="Y95" s="671"/>
      <c r="Z95" s="671"/>
      <c r="AA95" s="224"/>
      <c r="AB95" s="224"/>
      <c r="AC95" s="224"/>
      <c r="AD95" s="176"/>
      <c r="AE95" s="339"/>
      <c r="AF95" s="176"/>
      <c r="AG95" s="176"/>
      <c r="AH95" s="236"/>
      <c r="AI95" s="236"/>
      <c r="AJ95" s="236"/>
      <c r="AK95" s="236"/>
      <c r="AL95" s="236"/>
      <c r="AM95" s="236"/>
      <c r="AN95" s="236"/>
      <c r="AO95" s="236"/>
      <c r="AP95" s="236"/>
      <c r="AQ95" s="236"/>
      <c r="AR95" s="236"/>
      <c r="AS95" s="73"/>
      <c r="AT95" s="73"/>
      <c r="AU95" s="701"/>
    </row>
    <row r="96" spans="1:47" s="1" customFormat="1" ht="94.5" customHeight="1" thickBot="1">
      <c r="A96" s="840"/>
      <c r="B96" s="669"/>
      <c r="C96" s="669"/>
      <c r="D96" s="669"/>
      <c r="E96" s="669"/>
      <c r="F96" s="669"/>
      <c r="G96" s="669"/>
      <c r="H96" s="669"/>
      <c r="I96" s="669"/>
      <c r="J96" s="669"/>
      <c r="K96" s="669"/>
      <c r="L96" s="667"/>
      <c r="M96" s="667"/>
      <c r="N96" s="667"/>
      <c r="O96" s="669"/>
      <c r="P96" s="551" t="s">
        <v>546</v>
      </c>
      <c r="Q96" s="551" t="s">
        <v>622</v>
      </c>
      <c r="R96" s="551">
        <v>3383</v>
      </c>
      <c r="S96" s="551">
        <v>1449</v>
      </c>
      <c r="T96" s="551">
        <v>1449</v>
      </c>
      <c r="U96" s="551">
        <v>485</v>
      </c>
      <c r="V96" s="535">
        <v>0</v>
      </c>
      <c r="W96" s="730"/>
      <c r="X96" s="730"/>
      <c r="Y96" s="671"/>
      <c r="Z96" s="671"/>
      <c r="AA96" s="224"/>
      <c r="AB96" s="224"/>
      <c r="AC96" s="224"/>
      <c r="AD96" s="176"/>
      <c r="AE96" s="339"/>
      <c r="AF96" s="176"/>
      <c r="AG96" s="176"/>
      <c r="AH96" s="236"/>
      <c r="AI96" s="236"/>
      <c r="AJ96" s="236"/>
      <c r="AK96" s="236"/>
      <c r="AL96" s="236"/>
      <c r="AM96" s="236"/>
      <c r="AN96" s="236"/>
      <c r="AO96" s="236"/>
      <c r="AP96" s="236"/>
      <c r="AQ96" s="236"/>
      <c r="AR96" s="236"/>
      <c r="AS96" s="73"/>
      <c r="AT96" s="73"/>
      <c r="AU96" s="701"/>
    </row>
    <row r="97" spans="1:47" s="1" customFormat="1" ht="66.75" customHeight="1" thickBot="1">
      <c r="A97" s="840"/>
      <c r="B97" s="669"/>
      <c r="C97" s="669"/>
      <c r="D97" s="669"/>
      <c r="E97" s="669"/>
      <c r="F97" s="669"/>
      <c r="G97" s="669"/>
      <c r="H97" s="669"/>
      <c r="I97" s="669"/>
      <c r="J97" s="669"/>
      <c r="K97" s="669"/>
      <c r="L97" s="667"/>
      <c r="M97" s="667"/>
      <c r="N97" s="667"/>
      <c r="O97" s="669"/>
      <c r="P97" s="551" t="s">
        <v>547</v>
      </c>
      <c r="Q97" s="551" t="s">
        <v>623</v>
      </c>
      <c r="R97" s="551">
        <v>685</v>
      </c>
      <c r="S97" s="551">
        <v>343</v>
      </c>
      <c r="T97" s="551">
        <v>342</v>
      </c>
      <c r="U97" s="551">
        <v>0</v>
      </c>
      <c r="V97" s="535">
        <v>0</v>
      </c>
      <c r="W97" s="731"/>
      <c r="X97" s="731"/>
      <c r="Y97" s="672"/>
      <c r="Z97" s="672"/>
      <c r="AA97" s="224"/>
      <c r="AB97" s="224"/>
      <c r="AC97" s="224"/>
      <c r="AD97" s="176"/>
      <c r="AE97" s="339"/>
      <c r="AF97" s="176"/>
      <c r="AG97" s="176"/>
      <c r="AH97" s="236"/>
      <c r="AI97" s="236"/>
      <c r="AJ97" s="236"/>
      <c r="AK97" s="236"/>
      <c r="AL97" s="236"/>
      <c r="AM97" s="236"/>
      <c r="AN97" s="236"/>
      <c r="AO97" s="236"/>
      <c r="AP97" s="236"/>
      <c r="AQ97" s="236"/>
      <c r="AR97" s="236"/>
      <c r="AS97" s="73"/>
      <c r="AT97" s="73"/>
      <c r="AU97" s="701"/>
    </row>
    <row r="98" spans="1:47" s="1" customFormat="1" ht="52.5" customHeight="1" thickBot="1">
      <c r="A98" s="840"/>
      <c r="B98" s="669"/>
      <c r="C98" s="669"/>
      <c r="D98" s="669"/>
      <c r="E98" s="669"/>
      <c r="F98" s="669"/>
      <c r="G98" s="669"/>
      <c r="H98" s="669"/>
      <c r="I98" s="669"/>
      <c r="J98" s="669"/>
      <c r="K98" s="669"/>
      <c r="L98" s="667"/>
      <c r="M98" s="667"/>
      <c r="N98" s="667"/>
      <c r="O98" s="669"/>
      <c r="P98" s="551" t="s">
        <v>831</v>
      </c>
      <c r="Q98" s="551" t="s">
        <v>17</v>
      </c>
      <c r="R98" s="551">
        <v>1</v>
      </c>
      <c r="S98" s="551">
        <v>1</v>
      </c>
      <c r="T98" s="551">
        <v>1</v>
      </c>
      <c r="U98" s="551">
        <v>1</v>
      </c>
      <c r="V98" s="536">
        <v>1</v>
      </c>
      <c r="W98" s="558" t="s">
        <v>779</v>
      </c>
      <c r="X98" s="557"/>
      <c r="Y98" s="559">
        <v>2777145000</v>
      </c>
      <c r="Z98" s="559">
        <f>+Y98</f>
        <v>2777145000</v>
      </c>
      <c r="AA98" s="507"/>
      <c r="AB98" s="641"/>
      <c r="AC98" s="641"/>
      <c r="AD98" s="176"/>
      <c r="AE98" s="339"/>
      <c r="AF98" s="176"/>
      <c r="AG98" s="176"/>
      <c r="AH98" s="236"/>
      <c r="AI98" s="236"/>
      <c r="AJ98" s="236"/>
      <c r="AK98" s="236"/>
      <c r="AL98" s="236"/>
      <c r="AM98" s="236"/>
      <c r="AN98" s="236"/>
      <c r="AO98" s="236"/>
      <c r="AP98" s="236"/>
      <c r="AQ98" s="236"/>
      <c r="AR98" s="236"/>
      <c r="AS98" s="73" t="s">
        <v>342</v>
      </c>
      <c r="AT98" s="73" t="s">
        <v>342</v>
      </c>
      <c r="AU98" s="701"/>
    </row>
    <row r="99" spans="1:47" s="218" customFormat="1" ht="52.5" customHeight="1" thickBot="1">
      <c r="A99" s="840"/>
      <c r="B99" s="669"/>
      <c r="C99" s="669"/>
      <c r="D99" s="669"/>
      <c r="E99" s="669"/>
      <c r="F99" s="669"/>
      <c r="G99" s="669"/>
      <c r="H99" s="669"/>
      <c r="I99" s="669"/>
      <c r="J99" s="669"/>
      <c r="K99" s="669"/>
      <c r="L99" s="667"/>
      <c r="M99" s="667"/>
      <c r="N99" s="667"/>
      <c r="O99" s="669"/>
      <c r="P99" s="551" t="s">
        <v>832</v>
      </c>
      <c r="Q99" s="551" t="s">
        <v>17</v>
      </c>
      <c r="R99" s="551">
        <v>1</v>
      </c>
      <c r="S99" s="551">
        <v>1</v>
      </c>
      <c r="T99" s="551">
        <v>1</v>
      </c>
      <c r="U99" s="551">
        <v>1</v>
      </c>
      <c r="V99" s="536">
        <v>1</v>
      </c>
      <c r="W99" s="558"/>
      <c r="X99" s="586"/>
      <c r="Y99" s="559"/>
      <c r="Z99" s="559"/>
      <c r="AA99" s="507"/>
      <c r="AB99" s="641"/>
      <c r="AC99" s="641"/>
      <c r="AD99" s="176"/>
      <c r="AE99" s="339"/>
      <c r="AF99" s="176"/>
      <c r="AG99" s="176"/>
      <c r="AH99" s="236"/>
      <c r="AI99" s="236"/>
      <c r="AJ99" s="236"/>
      <c r="AK99" s="236"/>
      <c r="AL99" s="236"/>
      <c r="AM99" s="236"/>
      <c r="AN99" s="236"/>
      <c r="AO99" s="236"/>
      <c r="AP99" s="236"/>
      <c r="AQ99" s="236"/>
      <c r="AR99" s="236"/>
      <c r="AS99" s="219"/>
      <c r="AT99" s="219"/>
      <c r="AU99" s="701"/>
    </row>
    <row r="100" spans="1:47" s="218" customFormat="1" ht="59.25" customHeight="1" thickBot="1">
      <c r="A100" s="840"/>
      <c r="B100" s="669"/>
      <c r="C100" s="669"/>
      <c r="D100" s="669"/>
      <c r="E100" s="669"/>
      <c r="F100" s="669"/>
      <c r="G100" s="669"/>
      <c r="H100" s="669"/>
      <c r="I100" s="669"/>
      <c r="J100" s="669"/>
      <c r="K100" s="669"/>
      <c r="L100" s="667"/>
      <c r="M100" s="667"/>
      <c r="N100" s="667"/>
      <c r="O100" s="669"/>
      <c r="P100" s="551" t="s">
        <v>833</v>
      </c>
      <c r="Q100" s="551" t="s">
        <v>17</v>
      </c>
      <c r="R100" s="551">
        <v>1</v>
      </c>
      <c r="S100" s="551">
        <v>1</v>
      </c>
      <c r="T100" s="551">
        <v>1</v>
      </c>
      <c r="U100" s="551">
        <v>1</v>
      </c>
      <c r="V100" s="536">
        <v>1</v>
      </c>
      <c r="W100" s="558"/>
      <c r="X100" s="586"/>
      <c r="Y100" s="559"/>
      <c r="Z100" s="559"/>
      <c r="AA100" s="507"/>
      <c r="AB100" s="641"/>
      <c r="AC100" s="641"/>
      <c r="AD100" s="176"/>
      <c r="AE100" s="339"/>
      <c r="AF100" s="176"/>
      <c r="AG100" s="176"/>
      <c r="AH100" s="236"/>
      <c r="AI100" s="236"/>
      <c r="AJ100" s="236"/>
      <c r="AK100" s="236"/>
      <c r="AL100" s="236"/>
      <c r="AM100" s="236"/>
      <c r="AN100" s="236"/>
      <c r="AO100" s="236"/>
      <c r="AP100" s="236"/>
      <c r="AQ100" s="236"/>
      <c r="AR100" s="236"/>
      <c r="AS100" s="219"/>
      <c r="AT100" s="219"/>
      <c r="AU100" s="701"/>
    </row>
    <row r="101" spans="1:47" s="1" customFormat="1" ht="44.25" customHeight="1" thickBot="1">
      <c r="A101" s="840"/>
      <c r="B101" s="669"/>
      <c r="C101" s="669"/>
      <c r="D101" s="669"/>
      <c r="E101" s="669"/>
      <c r="F101" s="669"/>
      <c r="G101" s="669"/>
      <c r="H101" s="669"/>
      <c r="I101" s="669"/>
      <c r="J101" s="669"/>
      <c r="K101" s="669"/>
      <c r="L101" s="667"/>
      <c r="M101" s="667"/>
      <c r="N101" s="667"/>
      <c r="O101" s="669"/>
      <c r="P101" s="551" t="s">
        <v>834</v>
      </c>
      <c r="Q101" s="551" t="s">
        <v>17</v>
      </c>
      <c r="R101" s="551">
        <v>1</v>
      </c>
      <c r="S101" s="551">
        <v>1</v>
      </c>
      <c r="T101" s="551">
        <v>1</v>
      </c>
      <c r="U101" s="551">
        <v>1</v>
      </c>
      <c r="V101" s="536">
        <v>1</v>
      </c>
      <c r="W101" s="380"/>
      <c r="X101" s="380"/>
      <c r="Y101" s="380"/>
      <c r="Z101" s="380"/>
      <c r="AA101" s="224"/>
      <c r="AB101" s="224"/>
      <c r="AC101" s="224"/>
      <c r="AD101" s="176"/>
      <c r="AE101" s="339"/>
      <c r="AF101" s="176"/>
      <c r="AG101" s="176"/>
      <c r="AH101" s="236"/>
      <c r="AI101" s="236"/>
      <c r="AJ101" s="236"/>
      <c r="AK101" s="236"/>
      <c r="AL101" s="236"/>
      <c r="AM101" s="236"/>
      <c r="AN101" s="236"/>
      <c r="AO101" s="236"/>
      <c r="AP101" s="236"/>
      <c r="AQ101" s="236"/>
      <c r="AR101" s="236"/>
      <c r="AS101" s="73" t="s">
        <v>342</v>
      </c>
      <c r="AT101" s="73" t="s">
        <v>342</v>
      </c>
      <c r="AU101" s="701"/>
    </row>
    <row r="102" spans="1:47" s="1" customFormat="1" ht="86.25" customHeight="1" thickBot="1">
      <c r="A102" s="840"/>
      <c r="B102" s="669"/>
      <c r="C102" s="668" t="s">
        <v>224</v>
      </c>
      <c r="D102" s="668" t="s">
        <v>160</v>
      </c>
      <c r="E102" s="82" t="s">
        <v>161</v>
      </c>
      <c r="F102" s="78" t="s">
        <v>53</v>
      </c>
      <c r="G102" s="78" t="s">
        <v>51</v>
      </c>
      <c r="H102" s="78">
        <v>15</v>
      </c>
      <c r="I102" s="83" t="s">
        <v>167</v>
      </c>
      <c r="J102" s="668" t="s">
        <v>170</v>
      </c>
      <c r="K102" s="668" t="s">
        <v>17</v>
      </c>
      <c r="L102" s="666" t="s">
        <v>51</v>
      </c>
      <c r="M102" s="666">
        <v>0</v>
      </c>
      <c r="N102" s="666"/>
      <c r="O102" s="668" t="s">
        <v>177</v>
      </c>
      <c r="P102" s="551" t="s">
        <v>875</v>
      </c>
      <c r="Q102" s="551" t="s">
        <v>452</v>
      </c>
      <c r="R102" s="551">
        <v>1</v>
      </c>
      <c r="S102" s="551"/>
      <c r="T102" s="551"/>
      <c r="U102" s="551">
        <v>1</v>
      </c>
      <c r="V102" s="536"/>
      <c r="W102" s="598"/>
      <c r="X102" s="598"/>
      <c r="Y102" s="598"/>
      <c r="Z102" s="598"/>
      <c r="AA102" s="224"/>
      <c r="AB102" s="224"/>
      <c r="AC102" s="224"/>
      <c r="AD102" s="176"/>
      <c r="AE102" s="339"/>
      <c r="AF102" s="176"/>
      <c r="AG102" s="176"/>
      <c r="AH102" s="236"/>
      <c r="AI102" s="236"/>
      <c r="AJ102" s="236"/>
      <c r="AK102" s="236"/>
      <c r="AL102" s="236"/>
      <c r="AM102" s="236"/>
      <c r="AN102" s="236"/>
      <c r="AO102" s="236"/>
      <c r="AP102" s="236"/>
      <c r="AQ102" s="236"/>
      <c r="AR102" s="236"/>
      <c r="AS102" s="73" t="s">
        <v>342</v>
      </c>
      <c r="AT102" s="73" t="s">
        <v>342</v>
      </c>
      <c r="AU102" s="702"/>
    </row>
    <row r="103" spans="1:47" s="218" customFormat="1" ht="86.25" customHeight="1" thickBot="1">
      <c r="A103" s="840"/>
      <c r="B103" s="669"/>
      <c r="C103" s="669"/>
      <c r="D103" s="669"/>
      <c r="E103" s="234"/>
      <c r="F103" s="234"/>
      <c r="G103" s="221"/>
      <c r="H103" s="221"/>
      <c r="I103" s="235"/>
      <c r="J103" s="669"/>
      <c r="K103" s="669"/>
      <c r="L103" s="667"/>
      <c r="M103" s="667"/>
      <c r="N103" s="667"/>
      <c r="O103" s="669"/>
      <c r="P103" s="551" t="s">
        <v>835</v>
      </c>
      <c r="Q103" s="551" t="s">
        <v>17</v>
      </c>
      <c r="R103" s="551">
        <v>1</v>
      </c>
      <c r="S103" s="551">
        <v>1</v>
      </c>
      <c r="T103" s="551">
        <v>1</v>
      </c>
      <c r="U103" s="551">
        <v>1</v>
      </c>
      <c r="V103" s="536">
        <v>1</v>
      </c>
      <c r="W103" s="305" t="s">
        <v>872</v>
      </c>
      <c r="X103" s="305"/>
      <c r="Y103" s="559">
        <f>9866922452+108650000+632690880</f>
        <v>10608263332</v>
      </c>
      <c r="Z103" s="599">
        <f>+Y103</f>
        <v>10608263332</v>
      </c>
      <c r="AA103" s="507"/>
      <c r="AB103" s="506"/>
      <c r="AC103" s="506"/>
      <c r="AD103" s="176"/>
      <c r="AE103" s="339"/>
      <c r="AF103" s="176"/>
      <c r="AG103" s="176"/>
      <c r="AH103" s="236"/>
      <c r="AI103" s="236"/>
      <c r="AJ103" s="236"/>
      <c r="AK103" s="236"/>
      <c r="AL103" s="236"/>
      <c r="AM103" s="236"/>
      <c r="AN103" s="236"/>
      <c r="AO103" s="236"/>
      <c r="AP103" s="236"/>
      <c r="AQ103" s="236"/>
      <c r="AR103" s="236"/>
      <c r="AS103" s="219"/>
      <c r="AT103" s="219"/>
      <c r="AU103" s="231"/>
    </row>
    <row r="104" spans="1:47" s="218" customFormat="1" ht="57.75" thickBot="1">
      <c r="A104" s="840"/>
      <c r="B104" s="669"/>
      <c r="C104" s="669"/>
      <c r="D104" s="669"/>
      <c r="E104" s="234"/>
      <c r="F104" s="234"/>
      <c r="G104" s="221"/>
      <c r="H104" s="221"/>
      <c r="I104" s="235"/>
      <c r="J104" s="695" t="s">
        <v>171</v>
      </c>
      <c r="K104" s="668" t="s">
        <v>17</v>
      </c>
      <c r="L104" s="666" t="s">
        <v>51</v>
      </c>
      <c r="M104" s="696">
        <v>1</v>
      </c>
      <c r="N104" s="666"/>
      <c r="O104" s="668" t="s">
        <v>176</v>
      </c>
      <c r="P104" s="551" t="s">
        <v>839</v>
      </c>
      <c r="Q104" s="551" t="s">
        <v>17</v>
      </c>
      <c r="R104" s="551">
        <v>1</v>
      </c>
      <c r="S104" s="551">
        <v>1</v>
      </c>
      <c r="T104" s="551">
        <v>0</v>
      </c>
      <c r="U104" s="551">
        <v>0</v>
      </c>
      <c r="V104" s="536">
        <v>0</v>
      </c>
      <c r="W104" s="596"/>
      <c r="X104" s="852"/>
      <c r="Y104" s="673"/>
      <c r="Z104" s="596"/>
      <c r="AA104" s="224"/>
      <c r="AB104" s="224"/>
      <c r="AC104" s="224"/>
      <c r="AD104" s="176"/>
      <c r="AE104" s="339"/>
      <c r="AF104" s="176"/>
      <c r="AG104" s="176"/>
      <c r="AH104" s="236"/>
      <c r="AI104" s="236"/>
      <c r="AJ104" s="236"/>
      <c r="AK104" s="236"/>
      <c r="AL104" s="236"/>
      <c r="AM104" s="236"/>
      <c r="AN104" s="236"/>
      <c r="AO104" s="236"/>
      <c r="AP104" s="236"/>
      <c r="AQ104" s="236"/>
      <c r="AR104" s="236"/>
      <c r="AS104" s="219"/>
      <c r="AT104" s="219"/>
      <c r="AU104" s="231"/>
    </row>
    <row r="105" spans="1:47" s="1" customFormat="1" ht="43.5" thickBot="1">
      <c r="A105" s="840"/>
      <c r="B105" s="669"/>
      <c r="C105" s="669"/>
      <c r="D105" s="669"/>
      <c r="E105" s="695" t="s">
        <v>162</v>
      </c>
      <c r="F105" s="695" t="s">
        <v>18</v>
      </c>
      <c r="G105" s="668" t="s">
        <v>51</v>
      </c>
      <c r="H105" s="668">
        <v>8</v>
      </c>
      <c r="I105" s="69" t="s">
        <v>166</v>
      </c>
      <c r="J105" s="670"/>
      <c r="K105" s="670"/>
      <c r="L105" s="674"/>
      <c r="M105" s="860"/>
      <c r="N105" s="674"/>
      <c r="O105" s="670"/>
      <c r="P105" s="551" t="s">
        <v>836</v>
      </c>
      <c r="Q105" s="551" t="s">
        <v>513</v>
      </c>
      <c r="R105" s="551">
        <v>1</v>
      </c>
      <c r="S105" s="551">
        <v>0</v>
      </c>
      <c r="T105" s="551">
        <v>0</v>
      </c>
      <c r="U105" s="551">
        <v>1</v>
      </c>
      <c r="V105" s="536">
        <v>0</v>
      </c>
      <c r="W105" s="596"/>
      <c r="X105" s="853"/>
      <c r="Y105" s="671"/>
      <c r="Z105" s="596"/>
      <c r="AA105" s="224"/>
      <c r="AB105" s="224"/>
      <c r="AC105" s="224"/>
      <c r="AD105" s="176"/>
      <c r="AE105" s="339"/>
      <c r="AF105" s="176"/>
      <c r="AG105" s="176"/>
      <c r="AH105" s="236"/>
      <c r="AI105" s="236"/>
      <c r="AJ105" s="236"/>
      <c r="AK105" s="236"/>
      <c r="AL105" s="236"/>
      <c r="AM105" s="236"/>
      <c r="AN105" s="236"/>
      <c r="AO105" s="236"/>
      <c r="AP105" s="236"/>
      <c r="AQ105" s="236"/>
      <c r="AR105" s="236"/>
      <c r="AS105" s="73" t="s">
        <v>342</v>
      </c>
      <c r="AT105" s="73" t="s">
        <v>342</v>
      </c>
      <c r="AU105" s="700" t="s">
        <v>331</v>
      </c>
    </row>
    <row r="106" spans="1:47" s="1" customFormat="1" ht="29.25" thickBot="1">
      <c r="A106" s="840"/>
      <c r="B106" s="669"/>
      <c r="C106" s="669"/>
      <c r="D106" s="669"/>
      <c r="E106" s="697"/>
      <c r="F106" s="670"/>
      <c r="G106" s="670"/>
      <c r="H106" s="670"/>
      <c r="I106" s="75" t="s">
        <v>168</v>
      </c>
      <c r="J106" s="814" t="s">
        <v>172</v>
      </c>
      <c r="K106" s="232" t="s">
        <v>17</v>
      </c>
      <c r="L106" s="666" t="s">
        <v>51</v>
      </c>
      <c r="M106" s="696">
        <v>1</v>
      </c>
      <c r="N106" s="666"/>
      <c r="O106" s="666" t="s">
        <v>175</v>
      </c>
      <c r="P106" s="551" t="s">
        <v>924</v>
      </c>
      <c r="Q106" s="551" t="s">
        <v>19</v>
      </c>
      <c r="R106" s="551">
        <v>5</v>
      </c>
      <c r="S106" s="551">
        <v>0</v>
      </c>
      <c r="T106" s="551">
        <v>1</v>
      </c>
      <c r="U106" s="551">
        <v>2</v>
      </c>
      <c r="V106" s="536">
        <v>2</v>
      </c>
      <c r="W106" s="596"/>
      <c r="X106" s="853"/>
      <c r="Y106" s="671"/>
      <c r="Z106" s="596"/>
      <c r="AA106" s="224"/>
      <c r="AB106" s="224"/>
      <c r="AC106" s="224"/>
      <c r="AD106" s="176"/>
      <c r="AE106" s="339"/>
      <c r="AF106" s="176"/>
      <c r="AG106" s="176"/>
      <c r="AH106" s="236"/>
      <c r="AI106" s="236"/>
      <c r="AJ106" s="236"/>
      <c r="AK106" s="236"/>
      <c r="AL106" s="236"/>
      <c r="AM106" s="236"/>
      <c r="AN106" s="236"/>
      <c r="AO106" s="236"/>
      <c r="AP106" s="236"/>
      <c r="AQ106" s="236"/>
      <c r="AR106" s="236"/>
      <c r="AS106" s="73" t="s">
        <v>342</v>
      </c>
      <c r="AT106" s="73" t="s">
        <v>342</v>
      </c>
      <c r="AU106" s="701"/>
    </row>
    <row r="107" spans="1:47" s="218" customFormat="1" ht="29.25" thickBot="1">
      <c r="A107" s="840"/>
      <c r="B107" s="669"/>
      <c r="C107" s="669"/>
      <c r="D107" s="669"/>
      <c r="E107" s="233"/>
      <c r="F107" s="234"/>
      <c r="G107" s="234"/>
      <c r="H107" s="234"/>
      <c r="I107" s="235"/>
      <c r="J107" s="814"/>
      <c r="K107" s="235"/>
      <c r="L107" s="667"/>
      <c r="M107" s="667"/>
      <c r="N107" s="667"/>
      <c r="O107" s="667"/>
      <c r="P107" s="551" t="s">
        <v>925</v>
      </c>
      <c r="Q107" s="551" t="s">
        <v>19</v>
      </c>
      <c r="R107" s="551">
        <v>2</v>
      </c>
      <c r="S107" s="551">
        <v>0</v>
      </c>
      <c r="T107" s="551">
        <v>0</v>
      </c>
      <c r="U107" s="551">
        <v>2</v>
      </c>
      <c r="V107" s="536">
        <v>0</v>
      </c>
      <c r="W107" s="596"/>
      <c r="X107" s="853"/>
      <c r="Y107" s="671"/>
      <c r="Z107" s="596"/>
      <c r="AA107" s="507"/>
      <c r="AB107" s="506"/>
      <c r="AC107" s="506"/>
      <c r="AD107" s="176"/>
      <c r="AE107" s="339"/>
      <c r="AF107" s="176"/>
      <c r="AG107" s="176"/>
      <c r="AH107" s="236"/>
      <c r="AI107" s="236"/>
      <c r="AJ107" s="236"/>
      <c r="AK107" s="236"/>
      <c r="AL107" s="236"/>
      <c r="AM107" s="236"/>
      <c r="AN107" s="236"/>
      <c r="AO107" s="236"/>
      <c r="AP107" s="236"/>
      <c r="AQ107" s="236"/>
      <c r="AR107" s="236"/>
      <c r="AS107" s="219"/>
      <c r="AT107" s="219"/>
      <c r="AU107" s="701"/>
    </row>
    <row r="108" spans="1:47" s="1" customFormat="1" ht="57.75" thickBot="1">
      <c r="A108" s="841"/>
      <c r="B108" s="697"/>
      <c r="C108" s="697"/>
      <c r="D108" s="697"/>
      <c r="E108" s="88" t="s">
        <v>163</v>
      </c>
      <c r="F108" s="82" t="s">
        <v>164</v>
      </c>
      <c r="G108" s="82">
        <v>3</v>
      </c>
      <c r="H108" s="82">
        <v>4</v>
      </c>
      <c r="I108" s="668" t="s">
        <v>169</v>
      </c>
      <c r="J108" s="668" t="s">
        <v>173</v>
      </c>
      <c r="K108" s="668" t="s">
        <v>18</v>
      </c>
      <c r="L108" s="666" t="s">
        <v>51</v>
      </c>
      <c r="M108" s="666">
        <v>70</v>
      </c>
      <c r="N108" s="84"/>
      <c r="O108" s="82" t="s">
        <v>174</v>
      </c>
      <c r="P108" s="551" t="s">
        <v>837</v>
      </c>
      <c r="Q108" s="551" t="s">
        <v>358</v>
      </c>
      <c r="R108" s="551">
        <v>100</v>
      </c>
      <c r="S108" s="551">
        <v>100</v>
      </c>
      <c r="T108" s="551">
        <v>100</v>
      </c>
      <c r="U108" s="551">
        <v>100</v>
      </c>
      <c r="V108" s="536">
        <v>100</v>
      </c>
      <c r="W108" s="596"/>
      <c r="X108" s="853"/>
      <c r="Y108" s="671"/>
      <c r="Z108" s="596"/>
      <c r="AA108" s="507"/>
      <c r="AB108" s="506"/>
      <c r="AC108" s="506"/>
      <c r="AD108" s="176"/>
      <c r="AE108" s="339"/>
      <c r="AF108" s="176"/>
      <c r="AG108" s="176"/>
      <c r="AH108" s="236"/>
      <c r="AI108" s="236"/>
      <c r="AJ108" s="236"/>
      <c r="AK108" s="236"/>
      <c r="AL108" s="236"/>
      <c r="AM108" s="236"/>
      <c r="AN108" s="236"/>
      <c r="AO108" s="236"/>
      <c r="AP108" s="236"/>
      <c r="AQ108" s="236"/>
      <c r="AR108" s="236"/>
      <c r="AS108" s="73" t="s">
        <v>342</v>
      </c>
      <c r="AT108" s="73" t="s">
        <v>342</v>
      </c>
      <c r="AU108" s="702"/>
    </row>
    <row r="109" spans="1:47" s="218" customFormat="1" ht="60" customHeight="1" thickBot="1">
      <c r="A109" s="592"/>
      <c r="B109" s="590"/>
      <c r="C109" s="590"/>
      <c r="D109" s="590"/>
      <c r="E109" s="595"/>
      <c r="F109" s="590"/>
      <c r="G109" s="590"/>
      <c r="H109" s="590"/>
      <c r="I109" s="669"/>
      <c r="J109" s="669"/>
      <c r="K109" s="669"/>
      <c r="L109" s="667"/>
      <c r="M109" s="667"/>
      <c r="N109" s="587"/>
      <c r="O109" s="589"/>
      <c r="P109" s="551" t="s">
        <v>838</v>
      </c>
      <c r="Q109" s="551" t="s">
        <v>17</v>
      </c>
      <c r="R109" s="551">
        <v>1</v>
      </c>
      <c r="S109" s="551">
        <v>0</v>
      </c>
      <c r="T109" s="551">
        <v>1</v>
      </c>
      <c r="U109" s="551">
        <v>0</v>
      </c>
      <c r="V109" s="588">
        <v>0</v>
      </c>
      <c r="W109" s="596"/>
      <c r="X109" s="853"/>
      <c r="Y109" s="671"/>
      <c r="Z109" s="596"/>
      <c r="AA109" s="507"/>
      <c r="AB109" s="506"/>
      <c r="AC109" s="506"/>
      <c r="AD109" s="176"/>
      <c r="AE109" s="339"/>
      <c r="AF109" s="176"/>
      <c r="AG109" s="176"/>
      <c r="AH109" s="236"/>
      <c r="AI109" s="236"/>
      <c r="AJ109" s="236"/>
      <c r="AK109" s="236"/>
      <c r="AL109" s="236"/>
      <c r="AM109" s="236"/>
      <c r="AN109" s="236"/>
      <c r="AO109" s="236"/>
      <c r="AP109" s="236"/>
      <c r="AQ109" s="236"/>
      <c r="AR109" s="236"/>
      <c r="AS109" s="591"/>
      <c r="AT109" s="591"/>
      <c r="AU109" s="594"/>
    </row>
    <row r="110" spans="1:47" s="1" customFormat="1" ht="93.75" customHeight="1" thickBot="1">
      <c r="A110" s="824" t="s">
        <v>318</v>
      </c>
      <c r="B110" s="827" t="s">
        <v>179</v>
      </c>
      <c r="C110" s="97" t="s">
        <v>192</v>
      </c>
      <c r="D110" s="97" t="s">
        <v>180</v>
      </c>
      <c r="E110" s="97" t="s">
        <v>178</v>
      </c>
      <c r="F110" s="97" t="s">
        <v>17</v>
      </c>
      <c r="G110" s="97" t="s">
        <v>51</v>
      </c>
      <c r="H110" s="97">
        <v>1</v>
      </c>
      <c r="I110" s="90" t="s">
        <v>181</v>
      </c>
      <c r="J110" s="90" t="s">
        <v>182</v>
      </c>
      <c r="K110" s="97" t="s">
        <v>17</v>
      </c>
      <c r="L110" s="97" t="s">
        <v>51</v>
      </c>
      <c r="M110" s="97">
        <v>1</v>
      </c>
      <c r="N110" s="91"/>
      <c r="O110" s="99" t="s">
        <v>183</v>
      </c>
      <c r="P110" s="551" t="s">
        <v>918</v>
      </c>
      <c r="Q110" s="551" t="s">
        <v>17</v>
      </c>
      <c r="R110" s="551">
        <v>1</v>
      </c>
      <c r="S110" s="551">
        <v>1</v>
      </c>
      <c r="T110" s="551">
        <v>0</v>
      </c>
      <c r="U110" s="551">
        <v>0</v>
      </c>
      <c r="V110" s="560">
        <v>0</v>
      </c>
      <c r="W110" s="597"/>
      <c r="X110" s="854"/>
      <c r="Y110" s="671"/>
      <c r="Z110" s="597"/>
      <c r="AA110" s="655"/>
      <c r="AB110" s="507"/>
      <c r="AC110" s="507"/>
      <c r="AD110" s="80"/>
      <c r="AE110" s="339"/>
      <c r="AF110" s="257"/>
      <c r="AG110" s="257"/>
      <c r="AH110" s="257"/>
      <c r="AI110" s="257"/>
      <c r="AJ110" s="257"/>
      <c r="AK110" s="257"/>
      <c r="AL110" s="257"/>
      <c r="AM110" s="257"/>
      <c r="AN110" s="257"/>
      <c r="AO110" s="257"/>
      <c r="AP110" s="257"/>
      <c r="AQ110" s="257"/>
      <c r="AR110" s="257"/>
      <c r="AS110" s="169" t="s">
        <v>462</v>
      </c>
      <c r="AT110" s="187" t="s">
        <v>462</v>
      </c>
      <c r="AU110" s="167"/>
    </row>
    <row r="111" spans="1:47" s="1" customFormat="1" ht="72" customHeight="1" thickBot="1">
      <c r="A111" s="825"/>
      <c r="B111" s="687"/>
      <c r="C111" s="686" t="s">
        <v>193</v>
      </c>
      <c r="D111" s="686" t="s">
        <v>184</v>
      </c>
      <c r="E111" s="686" t="s">
        <v>185</v>
      </c>
      <c r="F111" s="686" t="s">
        <v>18</v>
      </c>
      <c r="G111" s="686" t="s">
        <v>51</v>
      </c>
      <c r="H111" s="686">
        <v>70</v>
      </c>
      <c r="I111" s="686" t="s">
        <v>186</v>
      </c>
      <c r="J111" s="686" t="s">
        <v>187</v>
      </c>
      <c r="K111" s="686" t="s">
        <v>17</v>
      </c>
      <c r="L111" s="686" t="s">
        <v>51</v>
      </c>
      <c r="M111" s="664">
        <v>1</v>
      </c>
      <c r="N111" s="664"/>
      <c r="O111" s="686" t="s">
        <v>190</v>
      </c>
      <c r="P111" s="551" t="s">
        <v>840</v>
      </c>
      <c r="Q111" s="551" t="s">
        <v>18</v>
      </c>
      <c r="R111" s="551">
        <v>80</v>
      </c>
      <c r="S111" s="551">
        <v>5</v>
      </c>
      <c r="T111" s="551">
        <v>15</v>
      </c>
      <c r="U111" s="551">
        <v>30</v>
      </c>
      <c r="V111" s="533">
        <v>30</v>
      </c>
      <c r="W111" s="729" t="s">
        <v>782</v>
      </c>
      <c r="X111" s="728"/>
      <c r="Y111" s="671">
        <v>262068277</v>
      </c>
      <c r="Z111" s="673">
        <f>Y111</f>
        <v>262068277</v>
      </c>
      <c r="AA111" s="507">
        <v>5</v>
      </c>
      <c r="AB111" s="655"/>
      <c r="AC111" s="655"/>
      <c r="AD111" s="80"/>
      <c r="AE111" s="339"/>
      <c r="AF111" s="257"/>
      <c r="AG111" s="257"/>
      <c r="AH111" s="257"/>
      <c r="AI111" s="257"/>
      <c r="AJ111" s="257"/>
      <c r="AK111" s="257" t="s">
        <v>942</v>
      </c>
      <c r="AL111" s="257"/>
      <c r="AM111" s="257"/>
      <c r="AN111" s="257"/>
      <c r="AO111" s="257"/>
      <c r="AP111" s="257"/>
      <c r="AQ111" s="257"/>
      <c r="AR111" s="257"/>
      <c r="AS111" s="187" t="s">
        <v>943</v>
      </c>
      <c r="AT111" s="187" t="s">
        <v>944</v>
      </c>
      <c r="AU111" s="203"/>
    </row>
    <row r="112" spans="1:47" s="1" customFormat="1" ht="72" customHeight="1" thickBot="1">
      <c r="A112" s="825"/>
      <c r="B112" s="687"/>
      <c r="C112" s="687"/>
      <c r="D112" s="687"/>
      <c r="E112" s="687"/>
      <c r="F112" s="687"/>
      <c r="G112" s="687"/>
      <c r="H112" s="687"/>
      <c r="I112" s="687"/>
      <c r="J112" s="687"/>
      <c r="K112" s="687"/>
      <c r="L112" s="687"/>
      <c r="M112" s="665"/>
      <c r="N112" s="665"/>
      <c r="O112" s="687"/>
      <c r="P112" s="551" t="s">
        <v>740</v>
      </c>
      <c r="Q112" s="551" t="s">
        <v>19</v>
      </c>
      <c r="R112" s="551">
        <v>1</v>
      </c>
      <c r="S112" s="551" t="s">
        <v>941</v>
      </c>
      <c r="T112" s="551">
        <v>0</v>
      </c>
      <c r="U112" s="551">
        <v>0</v>
      </c>
      <c r="V112" s="533">
        <v>0</v>
      </c>
      <c r="W112" s="730"/>
      <c r="X112" s="715"/>
      <c r="Y112" s="671"/>
      <c r="Z112" s="671"/>
      <c r="AA112" s="507" t="s">
        <v>941</v>
      </c>
      <c r="AB112" s="655"/>
      <c r="AC112" s="655"/>
      <c r="AD112" s="80"/>
      <c r="AE112" s="339"/>
      <c r="AF112" s="257"/>
      <c r="AG112" s="257"/>
      <c r="AH112" s="257"/>
      <c r="AI112" s="257"/>
      <c r="AJ112" s="257"/>
      <c r="AK112" s="257" t="s">
        <v>941</v>
      </c>
      <c r="AL112" s="257"/>
      <c r="AM112" s="257"/>
      <c r="AN112" s="257"/>
      <c r="AO112" s="257"/>
      <c r="AP112" s="257"/>
      <c r="AQ112" s="257"/>
      <c r="AR112" s="257"/>
      <c r="AS112" s="187"/>
      <c r="AT112" s="187"/>
      <c r="AU112" s="203"/>
    </row>
    <row r="113" spans="1:50" s="1" customFormat="1" ht="52.5" customHeight="1" thickBot="1">
      <c r="A113" s="825"/>
      <c r="B113" s="687"/>
      <c r="C113" s="687"/>
      <c r="D113" s="687"/>
      <c r="E113" s="687"/>
      <c r="F113" s="687"/>
      <c r="G113" s="687"/>
      <c r="H113" s="687"/>
      <c r="I113" s="687"/>
      <c r="J113" s="688"/>
      <c r="K113" s="688"/>
      <c r="L113" s="688"/>
      <c r="M113" s="675"/>
      <c r="N113" s="675"/>
      <c r="O113" s="688"/>
      <c r="P113" s="551" t="s">
        <v>463</v>
      </c>
      <c r="Q113" s="551" t="s">
        <v>19</v>
      </c>
      <c r="R113" s="551">
        <v>0</v>
      </c>
      <c r="S113" s="551">
        <v>0</v>
      </c>
      <c r="T113" s="551">
        <v>0</v>
      </c>
      <c r="U113" s="551">
        <v>0</v>
      </c>
      <c r="V113" s="533">
        <v>1</v>
      </c>
      <c r="W113" s="730"/>
      <c r="X113" s="715"/>
      <c r="Y113" s="671"/>
      <c r="Z113" s="671"/>
      <c r="AA113" s="655"/>
      <c r="AB113" s="655"/>
      <c r="AC113" s="655"/>
      <c r="AD113" s="80"/>
      <c r="AF113" s="257"/>
      <c r="AG113" s="257"/>
      <c r="AH113" s="257"/>
      <c r="AI113" s="257"/>
      <c r="AJ113" s="257"/>
      <c r="AK113" s="257"/>
      <c r="AL113" s="257"/>
      <c r="AM113" s="257"/>
      <c r="AN113" s="257"/>
      <c r="AO113" s="257"/>
      <c r="AP113" s="257"/>
      <c r="AQ113" s="257"/>
      <c r="AR113" s="257"/>
      <c r="AS113" s="187" t="s">
        <v>24</v>
      </c>
      <c r="AT113" s="187" t="s">
        <v>24</v>
      </c>
      <c r="AU113" s="700" t="s">
        <v>332</v>
      </c>
    </row>
    <row r="114" spans="1:50" s="1" customFormat="1" ht="42" customHeight="1" thickBot="1">
      <c r="A114" s="825"/>
      <c r="B114" s="687"/>
      <c r="C114" s="687"/>
      <c r="D114" s="687"/>
      <c r="E114" s="687"/>
      <c r="F114" s="687"/>
      <c r="G114" s="687"/>
      <c r="H114" s="687"/>
      <c r="I114" s="687"/>
      <c r="J114" s="94" t="s">
        <v>188</v>
      </c>
      <c r="K114" s="94" t="s">
        <v>18</v>
      </c>
      <c r="L114" s="95" t="s">
        <v>51</v>
      </c>
      <c r="M114" s="95">
        <v>40</v>
      </c>
      <c r="N114" s="664"/>
      <c r="O114" s="664" t="s">
        <v>191</v>
      </c>
      <c r="P114" s="551" t="s">
        <v>466</v>
      </c>
      <c r="Q114" s="551" t="s">
        <v>17</v>
      </c>
      <c r="R114" s="551">
        <v>1</v>
      </c>
      <c r="S114" s="551">
        <v>1</v>
      </c>
      <c r="T114" s="551">
        <v>0</v>
      </c>
      <c r="U114" s="551">
        <v>0</v>
      </c>
      <c r="V114" s="533">
        <v>0</v>
      </c>
      <c r="W114" s="730"/>
      <c r="X114" s="715"/>
      <c r="Y114" s="671"/>
      <c r="Z114" s="671"/>
      <c r="AA114" s="655">
        <v>1</v>
      </c>
      <c r="AB114" s="655"/>
      <c r="AC114" s="655"/>
      <c r="AD114" s="80"/>
      <c r="AE114" s="339"/>
      <c r="AF114" s="257"/>
      <c r="AG114" s="257"/>
      <c r="AH114" s="257"/>
      <c r="AI114" s="257"/>
      <c r="AJ114" s="257"/>
      <c r="AK114" s="257" t="s">
        <v>945</v>
      </c>
      <c r="AL114" s="257"/>
      <c r="AM114" s="257"/>
      <c r="AN114" s="257"/>
      <c r="AO114" s="257"/>
      <c r="AP114" s="257"/>
      <c r="AQ114" s="257"/>
      <c r="AR114" s="257"/>
      <c r="AS114" s="187" t="s">
        <v>24</v>
      </c>
      <c r="AT114" s="187" t="s">
        <v>24</v>
      </c>
      <c r="AU114" s="701"/>
      <c r="AX114" s="1">
        <v>307118571.5</v>
      </c>
    </row>
    <row r="115" spans="1:50" s="218" customFormat="1" ht="111" customHeight="1" thickBot="1">
      <c r="A115" s="825"/>
      <c r="B115" s="687"/>
      <c r="C115" s="687"/>
      <c r="D115" s="687"/>
      <c r="E115" s="687"/>
      <c r="F115" s="687"/>
      <c r="G115" s="687"/>
      <c r="H115" s="687"/>
      <c r="I115" s="687"/>
      <c r="J115" s="815" t="s">
        <v>189</v>
      </c>
      <c r="K115" s="686" t="s">
        <v>17</v>
      </c>
      <c r="L115" s="664">
        <v>7</v>
      </c>
      <c r="M115" s="664">
        <v>6</v>
      </c>
      <c r="N115" s="665"/>
      <c r="O115" s="665"/>
      <c r="P115" s="551" t="s">
        <v>841</v>
      </c>
      <c r="Q115" s="551" t="s">
        <v>18</v>
      </c>
      <c r="R115" s="551">
        <v>60</v>
      </c>
      <c r="S115" s="551">
        <v>10</v>
      </c>
      <c r="T115" s="551">
        <v>10</v>
      </c>
      <c r="U115" s="551">
        <v>20</v>
      </c>
      <c r="V115" s="533">
        <v>5</v>
      </c>
      <c r="W115" s="730"/>
      <c r="X115" s="715"/>
      <c r="Y115" s="671"/>
      <c r="Z115" s="671"/>
      <c r="AA115" s="655">
        <v>10</v>
      </c>
      <c r="AB115" s="655"/>
      <c r="AC115" s="655"/>
      <c r="AD115" s="80"/>
      <c r="AE115" s="339"/>
      <c r="AF115" s="526"/>
      <c r="AG115" s="526"/>
      <c r="AH115" s="526"/>
      <c r="AI115" s="526"/>
      <c r="AJ115" s="526"/>
      <c r="AK115" s="661" t="s">
        <v>946</v>
      </c>
      <c r="AL115" s="526"/>
      <c r="AM115" s="526"/>
      <c r="AN115" s="526"/>
      <c r="AO115" s="526"/>
      <c r="AP115" s="526"/>
      <c r="AQ115" s="526"/>
      <c r="AR115" s="526"/>
      <c r="AS115" s="525"/>
      <c r="AT115" s="525"/>
      <c r="AU115" s="701"/>
    </row>
    <row r="116" spans="1:50" s="218" customFormat="1" ht="42" customHeight="1" thickBot="1">
      <c r="A116" s="825"/>
      <c r="B116" s="687"/>
      <c r="C116" s="687"/>
      <c r="D116" s="687"/>
      <c r="E116" s="687"/>
      <c r="F116" s="687"/>
      <c r="G116" s="687"/>
      <c r="H116" s="687"/>
      <c r="I116" s="687"/>
      <c r="J116" s="816"/>
      <c r="K116" s="687"/>
      <c r="L116" s="665"/>
      <c r="M116" s="665"/>
      <c r="N116" s="665"/>
      <c r="O116" s="665"/>
      <c r="P116" s="551" t="s">
        <v>743</v>
      </c>
      <c r="Q116" s="551" t="s">
        <v>17</v>
      </c>
      <c r="R116" s="551">
        <v>1</v>
      </c>
      <c r="S116" s="551">
        <v>0</v>
      </c>
      <c r="T116" s="551">
        <v>0</v>
      </c>
      <c r="U116" s="551">
        <v>1</v>
      </c>
      <c r="V116" s="533">
        <v>0</v>
      </c>
      <c r="W116" s="730"/>
      <c r="X116" s="715"/>
      <c r="Y116" s="671"/>
      <c r="Z116" s="671"/>
      <c r="AA116" s="655"/>
      <c r="AB116" s="655"/>
      <c r="AC116" s="655"/>
      <c r="AD116" s="80"/>
      <c r="AE116" s="339"/>
      <c r="AF116" s="526"/>
      <c r="AG116" s="526"/>
      <c r="AH116" s="526"/>
      <c r="AI116" s="526"/>
      <c r="AJ116" s="526"/>
      <c r="AK116" s="526"/>
      <c r="AL116" s="526"/>
      <c r="AM116" s="526"/>
      <c r="AN116" s="526"/>
      <c r="AO116" s="526"/>
      <c r="AP116" s="526"/>
      <c r="AQ116" s="526"/>
      <c r="AR116" s="526"/>
      <c r="AS116" s="525"/>
      <c r="AT116" s="525"/>
      <c r="AU116" s="701"/>
    </row>
    <row r="117" spans="1:50" s="218" customFormat="1" ht="43.5" thickBot="1">
      <c r="A117" s="825"/>
      <c r="B117" s="687"/>
      <c r="C117" s="687"/>
      <c r="D117" s="687"/>
      <c r="E117" s="687"/>
      <c r="F117" s="687"/>
      <c r="G117" s="687"/>
      <c r="H117" s="687"/>
      <c r="I117" s="687"/>
      <c r="J117" s="816"/>
      <c r="K117" s="687"/>
      <c r="L117" s="665"/>
      <c r="M117" s="665"/>
      <c r="N117" s="665"/>
      <c r="O117" s="665"/>
      <c r="P117" s="551" t="s">
        <v>842</v>
      </c>
      <c r="Q117" s="551" t="s">
        <v>17</v>
      </c>
      <c r="R117" s="551">
        <v>1</v>
      </c>
      <c r="S117" s="551">
        <v>0</v>
      </c>
      <c r="T117" s="551">
        <v>0</v>
      </c>
      <c r="U117" s="551">
        <v>0</v>
      </c>
      <c r="V117" s="533">
        <v>1</v>
      </c>
      <c r="W117" s="730"/>
      <c r="X117" s="715"/>
      <c r="Y117" s="671"/>
      <c r="Z117" s="671"/>
      <c r="AA117" s="655"/>
      <c r="AB117" s="655"/>
      <c r="AC117" s="655"/>
      <c r="AD117" s="80"/>
      <c r="AE117" s="339"/>
      <c r="AF117" s="526"/>
      <c r="AG117" s="526"/>
      <c r="AH117" s="526"/>
      <c r="AI117" s="526"/>
      <c r="AJ117" s="526"/>
      <c r="AK117" s="526"/>
      <c r="AL117" s="526"/>
      <c r="AM117" s="526"/>
      <c r="AN117" s="526"/>
      <c r="AO117" s="526"/>
      <c r="AP117" s="526"/>
      <c r="AQ117" s="526"/>
      <c r="AR117" s="526"/>
      <c r="AS117" s="525"/>
      <c r="AT117" s="525"/>
      <c r="AU117" s="701"/>
    </row>
    <row r="118" spans="1:50" s="218" customFormat="1" ht="29.25" thickBot="1">
      <c r="A118" s="825"/>
      <c r="B118" s="687"/>
      <c r="C118" s="687"/>
      <c r="D118" s="687"/>
      <c r="E118" s="687"/>
      <c r="F118" s="687"/>
      <c r="G118" s="687"/>
      <c r="H118" s="687"/>
      <c r="I118" s="687"/>
      <c r="J118" s="816"/>
      <c r="K118" s="687"/>
      <c r="L118" s="665"/>
      <c r="M118" s="665"/>
      <c r="N118" s="665"/>
      <c r="O118" s="665"/>
      <c r="P118" s="551" t="s">
        <v>843</v>
      </c>
      <c r="Q118" s="551" t="s">
        <v>17</v>
      </c>
      <c r="R118" s="551">
        <v>1</v>
      </c>
      <c r="S118" s="551">
        <v>0</v>
      </c>
      <c r="T118" s="551">
        <v>0</v>
      </c>
      <c r="U118" s="551">
        <v>0</v>
      </c>
      <c r="V118" s="533">
        <v>1</v>
      </c>
      <c r="W118" s="730"/>
      <c r="X118" s="715"/>
      <c r="Y118" s="671"/>
      <c r="Z118" s="671"/>
      <c r="AA118" s="655"/>
      <c r="AB118" s="655"/>
      <c r="AC118" s="655"/>
      <c r="AD118" s="80"/>
      <c r="AE118" s="339"/>
      <c r="AF118" s="526"/>
      <c r="AG118" s="526"/>
      <c r="AH118" s="526"/>
      <c r="AI118" s="526"/>
      <c r="AJ118" s="526"/>
      <c r="AK118" s="526"/>
      <c r="AL118" s="526"/>
      <c r="AM118" s="526"/>
      <c r="AN118" s="526"/>
      <c r="AO118" s="526"/>
      <c r="AP118" s="526"/>
      <c r="AQ118" s="526"/>
      <c r="AR118" s="526"/>
      <c r="AS118" s="525"/>
      <c r="AT118" s="525"/>
      <c r="AU118" s="701"/>
    </row>
    <row r="119" spans="1:50" s="218" customFormat="1" ht="42" customHeight="1" thickBot="1">
      <c r="A119" s="825"/>
      <c r="B119" s="687"/>
      <c r="C119" s="687"/>
      <c r="D119" s="687"/>
      <c r="E119" s="687"/>
      <c r="F119" s="687"/>
      <c r="G119" s="687"/>
      <c r="H119" s="687"/>
      <c r="I119" s="687"/>
      <c r="J119" s="816"/>
      <c r="K119" s="687"/>
      <c r="L119" s="665"/>
      <c r="M119" s="665"/>
      <c r="N119" s="665"/>
      <c r="O119" s="665"/>
      <c r="P119" s="551" t="s">
        <v>742</v>
      </c>
      <c r="Q119" s="551" t="s">
        <v>17</v>
      </c>
      <c r="R119" s="551">
        <v>1</v>
      </c>
      <c r="S119" s="551">
        <v>0</v>
      </c>
      <c r="T119" s="551">
        <v>1</v>
      </c>
      <c r="U119" s="551">
        <v>0</v>
      </c>
      <c r="V119" s="533">
        <v>0</v>
      </c>
      <c r="W119" s="730"/>
      <c r="X119" s="715"/>
      <c r="Y119" s="671"/>
      <c r="Z119" s="671"/>
      <c r="AA119" s="655"/>
      <c r="AB119" s="655"/>
      <c r="AC119" s="655"/>
      <c r="AD119" s="80"/>
      <c r="AE119" s="339"/>
      <c r="AF119" s="526"/>
      <c r="AG119" s="526"/>
      <c r="AH119" s="526"/>
      <c r="AI119" s="526"/>
      <c r="AJ119" s="526"/>
      <c r="AK119" s="526"/>
      <c r="AL119" s="526"/>
      <c r="AM119" s="526"/>
      <c r="AN119" s="526"/>
      <c r="AO119" s="526"/>
      <c r="AP119" s="526"/>
      <c r="AQ119" s="526"/>
      <c r="AR119" s="526"/>
      <c r="AS119" s="525"/>
      <c r="AT119" s="525"/>
      <c r="AU119" s="701"/>
    </row>
    <row r="120" spans="1:50" s="218" customFormat="1" ht="42" customHeight="1" thickBot="1">
      <c r="A120" s="825"/>
      <c r="B120" s="687"/>
      <c r="C120" s="687"/>
      <c r="D120" s="687"/>
      <c r="E120" s="687"/>
      <c r="F120" s="687"/>
      <c r="G120" s="687"/>
      <c r="H120" s="687"/>
      <c r="I120" s="687"/>
      <c r="J120" s="816"/>
      <c r="K120" s="687"/>
      <c r="L120" s="665"/>
      <c r="M120" s="665"/>
      <c r="N120" s="665"/>
      <c r="O120" s="665"/>
      <c r="P120" s="551" t="s">
        <v>741</v>
      </c>
      <c r="Q120" s="551" t="s">
        <v>17</v>
      </c>
      <c r="R120" s="551">
        <v>4</v>
      </c>
      <c r="S120" s="551">
        <v>1</v>
      </c>
      <c r="T120" s="551">
        <v>1</v>
      </c>
      <c r="U120" s="551">
        <v>1</v>
      </c>
      <c r="V120" s="533">
        <v>1</v>
      </c>
      <c r="W120" s="730"/>
      <c r="X120" s="715"/>
      <c r="Y120" s="671"/>
      <c r="Z120" s="671"/>
      <c r="AA120" s="655">
        <v>1</v>
      </c>
      <c r="AB120" s="655"/>
      <c r="AC120" s="655"/>
      <c r="AD120" s="80"/>
      <c r="AE120" s="339"/>
      <c r="AF120" s="526"/>
      <c r="AG120" s="526"/>
      <c r="AH120" s="526"/>
      <c r="AI120" s="526"/>
      <c r="AJ120" s="526"/>
      <c r="AK120" s="526" t="s">
        <v>947</v>
      </c>
      <c r="AL120" s="526"/>
      <c r="AM120" s="526"/>
      <c r="AN120" s="526"/>
      <c r="AO120" s="526"/>
      <c r="AP120" s="526"/>
      <c r="AQ120" s="526"/>
      <c r="AR120" s="526"/>
      <c r="AS120" s="525"/>
      <c r="AT120" s="525"/>
      <c r="AU120" s="701"/>
    </row>
    <row r="121" spans="1:50" s="1" customFormat="1" ht="94.5" customHeight="1" thickBot="1">
      <c r="A121" s="825"/>
      <c r="B121" s="687"/>
      <c r="C121" s="688"/>
      <c r="D121" s="688"/>
      <c r="E121" s="688"/>
      <c r="F121" s="688"/>
      <c r="G121" s="688"/>
      <c r="H121" s="688"/>
      <c r="I121" s="688"/>
      <c r="J121" s="817"/>
      <c r="K121" s="688"/>
      <c r="L121" s="675"/>
      <c r="M121" s="675"/>
      <c r="N121" s="675"/>
      <c r="O121" s="675"/>
      <c r="P121" s="551" t="s">
        <v>844</v>
      </c>
      <c r="Q121" s="551" t="s">
        <v>18</v>
      </c>
      <c r="R121" s="551">
        <v>100</v>
      </c>
      <c r="S121" s="551">
        <v>25</v>
      </c>
      <c r="T121" s="551">
        <v>25</v>
      </c>
      <c r="U121" s="551">
        <v>25</v>
      </c>
      <c r="V121" s="536">
        <v>25</v>
      </c>
      <c r="W121" s="731"/>
      <c r="X121" s="716"/>
      <c r="Y121" s="672"/>
      <c r="Z121" s="672"/>
      <c r="AA121" s="507">
        <v>25</v>
      </c>
      <c r="AB121" s="655"/>
      <c r="AC121" s="655"/>
      <c r="AD121" s="80"/>
      <c r="AE121" s="339"/>
      <c r="AF121" s="257"/>
      <c r="AG121" s="257"/>
      <c r="AH121" s="257"/>
      <c r="AI121" s="257"/>
      <c r="AJ121" s="257"/>
      <c r="AK121" s="257" t="s">
        <v>948</v>
      </c>
      <c r="AL121" s="257"/>
      <c r="AM121" s="257"/>
      <c r="AN121" s="257"/>
      <c r="AO121" s="257"/>
      <c r="AP121" s="257"/>
      <c r="AQ121" s="257"/>
      <c r="AR121" s="257"/>
      <c r="AS121" s="187" t="s">
        <v>24</v>
      </c>
      <c r="AT121" s="187" t="s">
        <v>24</v>
      </c>
      <c r="AU121" s="702"/>
    </row>
    <row r="122" spans="1:50" s="1" customFormat="1" ht="80.25" customHeight="1" thickBot="1">
      <c r="A122" s="825"/>
      <c r="B122" s="687"/>
      <c r="C122" s="686" t="s">
        <v>194</v>
      </c>
      <c r="D122" s="686" t="s">
        <v>195</v>
      </c>
      <c r="E122" s="686" t="s">
        <v>196</v>
      </c>
      <c r="F122" s="686" t="s">
        <v>18</v>
      </c>
      <c r="G122" s="686">
        <v>90</v>
      </c>
      <c r="H122" s="686">
        <v>90</v>
      </c>
      <c r="I122" s="686" t="s">
        <v>199</v>
      </c>
      <c r="J122" s="94" t="s">
        <v>198</v>
      </c>
      <c r="K122" s="94" t="s">
        <v>17</v>
      </c>
      <c r="L122" s="95" t="s">
        <v>51</v>
      </c>
      <c r="M122" s="95">
        <v>0</v>
      </c>
      <c r="N122" s="664"/>
      <c r="O122" s="664" t="s">
        <v>204</v>
      </c>
      <c r="P122" s="551" t="s">
        <v>845</v>
      </c>
      <c r="Q122" s="551" t="s">
        <v>399</v>
      </c>
      <c r="R122" s="551">
        <v>1</v>
      </c>
      <c r="S122" s="551">
        <v>0</v>
      </c>
      <c r="T122" s="551">
        <v>1</v>
      </c>
      <c r="U122" s="551">
        <v>0</v>
      </c>
      <c r="V122" s="536">
        <v>0</v>
      </c>
      <c r="W122" s="729" t="s">
        <v>776</v>
      </c>
      <c r="X122" s="728"/>
      <c r="Y122" s="673">
        <f>169200000+95000000+31634544</f>
        <v>295834544</v>
      </c>
      <c r="Z122" s="673">
        <f>+Y122</f>
        <v>295834544</v>
      </c>
      <c r="AA122" s="655"/>
      <c r="AB122" s="655"/>
      <c r="AC122" s="655"/>
      <c r="AD122" s="80"/>
      <c r="AE122" s="339"/>
      <c r="AF122" s="257"/>
      <c r="AG122" s="257"/>
      <c r="AH122" s="257"/>
      <c r="AI122" s="257"/>
      <c r="AJ122" s="257"/>
      <c r="AK122" s="257"/>
      <c r="AL122" s="257"/>
      <c r="AM122" s="257"/>
      <c r="AN122" s="257"/>
      <c r="AO122" s="257"/>
      <c r="AP122" s="257"/>
      <c r="AQ122" s="257"/>
      <c r="AR122" s="257"/>
      <c r="AS122" s="187" t="s">
        <v>24</v>
      </c>
      <c r="AT122" s="187" t="s">
        <v>24</v>
      </c>
      <c r="AU122" s="700" t="s">
        <v>333</v>
      </c>
    </row>
    <row r="123" spans="1:50" s="1" customFormat="1" ht="80.25" customHeight="1" thickBot="1">
      <c r="A123" s="825"/>
      <c r="B123" s="687"/>
      <c r="C123" s="687"/>
      <c r="D123" s="687"/>
      <c r="E123" s="688"/>
      <c r="F123" s="688"/>
      <c r="G123" s="688"/>
      <c r="H123" s="688"/>
      <c r="I123" s="687"/>
      <c r="J123" s="94" t="s">
        <v>200</v>
      </c>
      <c r="K123" s="94" t="s">
        <v>18</v>
      </c>
      <c r="L123" s="95">
        <v>5</v>
      </c>
      <c r="M123" s="95">
        <v>30</v>
      </c>
      <c r="N123" s="675"/>
      <c r="O123" s="675"/>
      <c r="P123" s="551" t="s">
        <v>846</v>
      </c>
      <c r="Q123" s="551" t="s">
        <v>19</v>
      </c>
      <c r="R123" s="551">
        <v>30</v>
      </c>
      <c r="S123" s="551">
        <v>7</v>
      </c>
      <c r="T123" s="551">
        <v>7</v>
      </c>
      <c r="U123" s="551">
        <v>7</v>
      </c>
      <c r="V123" s="536">
        <v>9</v>
      </c>
      <c r="W123" s="730"/>
      <c r="X123" s="715"/>
      <c r="Y123" s="671"/>
      <c r="Z123" s="671"/>
      <c r="AA123" s="507"/>
      <c r="AB123" s="655"/>
      <c r="AC123" s="655"/>
      <c r="AD123" s="80"/>
      <c r="AE123" s="339"/>
      <c r="AF123" s="257"/>
      <c r="AG123" s="257"/>
      <c r="AH123" s="257"/>
      <c r="AI123" s="257"/>
      <c r="AJ123" s="257"/>
      <c r="AK123" s="257"/>
      <c r="AL123" s="257"/>
      <c r="AM123" s="257"/>
      <c r="AN123" s="257"/>
      <c r="AO123" s="257"/>
      <c r="AP123" s="257"/>
      <c r="AQ123" s="257"/>
      <c r="AR123" s="257"/>
      <c r="AS123" s="187" t="s">
        <v>24</v>
      </c>
      <c r="AT123" s="187" t="s">
        <v>24</v>
      </c>
      <c r="AU123" s="701"/>
    </row>
    <row r="124" spans="1:50" s="1" customFormat="1" ht="63" customHeight="1" thickBot="1">
      <c r="A124" s="825"/>
      <c r="B124" s="687"/>
      <c r="C124" s="687"/>
      <c r="D124" s="687"/>
      <c r="E124" s="686" t="s">
        <v>197</v>
      </c>
      <c r="F124" s="686" t="s">
        <v>18</v>
      </c>
      <c r="G124" s="686" t="s">
        <v>51</v>
      </c>
      <c r="H124" s="686">
        <v>3</v>
      </c>
      <c r="I124" s="687"/>
      <c r="J124" s="94" t="s">
        <v>201</v>
      </c>
      <c r="K124" s="94" t="s">
        <v>18</v>
      </c>
      <c r="L124" s="95">
        <v>95</v>
      </c>
      <c r="M124" s="95">
        <v>95</v>
      </c>
      <c r="N124" s="664"/>
      <c r="O124" s="686" t="s">
        <v>205</v>
      </c>
      <c r="P124" s="551" t="s">
        <v>847</v>
      </c>
      <c r="Q124" s="551" t="s">
        <v>18</v>
      </c>
      <c r="R124" s="551">
        <v>90</v>
      </c>
      <c r="S124" s="551">
        <v>90</v>
      </c>
      <c r="T124" s="551">
        <v>90</v>
      </c>
      <c r="U124" s="551">
        <v>90</v>
      </c>
      <c r="V124" s="536">
        <v>90</v>
      </c>
      <c r="W124" s="730"/>
      <c r="X124" s="715"/>
      <c r="Y124" s="671"/>
      <c r="Z124" s="671"/>
      <c r="AA124" s="507"/>
      <c r="AB124" s="655"/>
      <c r="AC124" s="655"/>
      <c r="AD124" s="80"/>
      <c r="AE124" s="339"/>
      <c r="AF124" s="257"/>
      <c r="AG124" s="257"/>
      <c r="AH124" s="257"/>
      <c r="AI124" s="257"/>
      <c r="AJ124" s="257"/>
      <c r="AK124" s="257"/>
      <c r="AL124" s="257"/>
      <c r="AM124" s="257"/>
      <c r="AN124" s="257"/>
      <c r="AO124" s="257"/>
      <c r="AP124" s="257"/>
      <c r="AQ124" s="257"/>
      <c r="AR124" s="257"/>
      <c r="AS124" s="187" t="s">
        <v>24</v>
      </c>
      <c r="AT124" s="187" t="s">
        <v>24</v>
      </c>
      <c r="AU124" s="701"/>
    </row>
    <row r="125" spans="1:50" s="1" customFormat="1" ht="115.5" customHeight="1" thickBot="1">
      <c r="A125" s="825"/>
      <c r="B125" s="687"/>
      <c r="C125" s="687"/>
      <c r="D125" s="687"/>
      <c r="E125" s="687"/>
      <c r="F125" s="687"/>
      <c r="G125" s="687"/>
      <c r="H125" s="687"/>
      <c r="I125" s="687"/>
      <c r="J125" s="94" t="s">
        <v>202</v>
      </c>
      <c r="K125" s="94" t="s">
        <v>86</v>
      </c>
      <c r="L125" s="95">
        <v>15</v>
      </c>
      <c r="M125" s="95">
        <v>8</v>
      </c>
      <c r="N125" s="675"/>
      <c r="O125" s="688"/>
      <c r="P125" s="551" t="s">
        <v>848</v>
      </c>
      <c r="Q125" s="551" t="s">
        <v>849</v>
      </c>
      <c r="R125" s="551">
        <v>15</v>
      </c>
      <c r="S125" s="551">
        <v>15</v>
      </c>
      <c r="T125" s="551">
        <v>15</v>
      </c>
      <c r="U125" s="551">
        <v>15</v>
      </c>
      <c r="V125" s="536">
        <v>15</v>
      </c>
      <c r="W125" s="730"/>
      <c r="X125" s="715"/>
      <c r="Y125" s="671"/>
      <c r="Z125" s="671"/>
      <c r="AA125" s="655"/>
      <c r="AB125" s="655"/>
      <c r="AC125" s="655"/>
      <c r="AD125" s="80"/>
      <c r="AE125" s="339"/>
      <c r="AF125" s="257"/>
      <c r="AG125" s="257"/>
      <c r="AH125" s="257"/>
      <c r="AI125" s="257"/>
      <c r="AJ125" s="257"/>
      <c r="AK125" s="257"/>
      <c r="AL125" s="257"/>
      <c r="AM125" s="257"/>
      <c r="AN125" s="257"/>
      <c r="AO125" s="257"/>
      <c r="AP125" s="257"/>
      <c r="AQ125" s="257"/>
      <c r="AR125" s="257"/>
      <c r="AS125" s="187" t="s">
        <v>24</v>
      </c>
      <c r="AT125" s="187" t="s">
        <v>24</v>
      </c>
      <c r="AU125" s="701"/>
    </row>
    <row r="126" spans="1:50" s="1" customFormat="1" ht="66" customHeight="1" thickBot="1">
      <c r="A126" s="825"/>
      <c r="B126" s="687"/>
      <c r="C126" s="688"/>
      <c r="D126" s="688"/>
      <c r="E126" s="688"/>
      <c r="F126" s="688"/>
      <c r="G126" s="688"/>
      <c r="H126" s="688"/>
      <c r="I126" s="688"/>
      <c r="J126" s="94" t="s">
        <v>203</v>
      </c>
      <c r="K126" s="94" t="s">
        <v>18</v>
      </c>
      <c r="L126" s="95">
        <v>95</v>
      </c>
      <c r="M126" s="95">
        <v>95</v>
      </c>
      <c r="N126" s="95"/>
      <c r="O126" s="99" t="s">
        <v>206</v>
      </c>
      <c r="P126" s="551" t="s">
        <v>850</v>
      </c>
      <c r="Q126" s="551" t="s">
        <v>18</v>
      </c>
      <c r="R126" s="551">
        <v>90</v>
      </c>
      <c r="S126" s="551">
        <v>90</v>
      </c>
      <c r="T126" s="551">
        <v>90</v>
      </c>
      <c r="U126" s="551">
        <v>90</v>
      </c>
      <c r="V126" s="536">
        <v>90</v>
      </c>
      <c r="W126" s="731"/>
      <c r="X126" s="716"/>
      <c r="Y126" s="672"/>
      <c r="Z126" s="672"/>
      <c r="AA126" s="507"/>
      <c r="AB126" s="655"/>
      <c r="AC126" s="655"/>
      <c r="AD126" s="80"/>
      <c r="AE126" s="339"/>
      <c r="AF126" s="257"/>
      <c r="AG126" s="257"/>
      <c r="AH126" s="257"/>
      <c r="AI126" s="257"/>
      <c r="AJ126" s="257"/>
      <c r="AK126" s="257"/>
      <c r="AL126" s="257"/>
      <c r="AM126" s="257"/>
      <c r="AN126" s="257"/>
      <c r="AO126" s="257"/>
      <c r="AP126" s="257"/>
      <c r="AQ126" s="257"/>
      <c r="AR126" s="257"/>
      <c r="AS126" s="187" t="s">
        <v>24</v>
      </c>
      <c r="AT126" s="187" t="s">
        <v>24</v>
      </c>
      <c r="AU126" s="702"/>
    </row>
    <row r="127" spans="1:50" s="1" customFormat="1" ht="96.75" customHeight="1" thickBot="1">
      <c r="A127" s="825"/>
      <c r="B127" s="687"/>
      <c r="C127" s="686" t="s">
        <v>207</v>
      </c>
      <c r="D127" s="686" t="s">
        <v>208</v>
      </c>
      <c r="E127" s="686" t="s">
        <v>209</v>
      </c>
      <c r="F127" s="686" t="s">
        <v>18</v>
      </c>
      <c r="G127" s="686" t="s">
        <v>51</v>
      </c>
      <c r="H127" s="686">
        <v>90</v>
      </c>
      <c r="I127" s="686" t="s">
        <v>211</v>
      </c>
      <c r="J127" s="94" t="s">
        <v>212</v>
      </c>
      <c r="K127" s="94" t="s">
        <v>17</v>
      </c>
      <c r="L127" s="95" t="s">
        <v>51</v>
      </c>
      <c r="M127" s="95">
        <v>1</v>
      </c>
      <c r="N127" s="664"/>
      <c r="O127" s="686" t="s">
        <v>218</v>
      </c>
      <c r="P127" s="551" t="s">
        <v>851</v>
      </c>
      <c r="Q127" s="551" t="s">
        <v>19</v>
      </c>
      <c r="R127" s="551">
        <v>2</v>
      </c>
      <c r="S127" s="551">
        <v>0</v>
      </c>
      <c r="T127" s="551">
        <v>1</v>
      </c>
      <c r="U127" s="551">
        <v>0</v>
      </c>
      <c r="V127" s="536">
        <v>1</v>
      </c>
      <c r="W127" s="724" t="s">
        <v>783</v>
      </c>
      <c r="X127" s="728"/>
      <c r="Y127" s="673">
        <f>120000000+200000000+3222000000</f>
        <v>3542000000</v>
      </c>
      <c r="Z127" s="673">
        <f>+Y127</f>
        <v>3542000000</v>
      </c>
      <c r="AA127" s="507"/>
      <c r="AB127" s="655"/>
      <c r="AC127" s="655"/>
      <c r="AD127" s="80"/>
      <c r="AE127" s="339"/>
      <c r="AF127" s="257"/>
      <c r="AG127" s="257"/>
      <c r="AH127" s="257"/>
      <c r="AI127" s="257"/>
      <c r="AJ127" s="257"/>
      <c r="AK127" s="257"/>
      <c r="AL127" s="257"/>
      <c r="AM127" s="257"/>
      <c r="AN127" s="257"/>
      <c r="AO127" s="257"/>
      <c r="AP127" s="257"/>
      <c r="AQ127" s="257"/>
      <c r="AR127" s="257"/>
      <c r="AS127" s="187" t="s">
        <v>24</v>
      </c>
      <c r="AT127" s="187" t="s">
        <v>24</v>
      </c>
      <c r="AU127" s="700" t="s">
        <v>334</v>
      </c>
    </row>
    <row r="128" spans="1:50" s="1" customFormat="1" ht="60" customHeight="1" thickBot="1">
      <c r="A128" s="825"/>
      <c r="B128" s="687"/>
      <c r="C128" s="687"/>
      <c r="D128" s="687"/>
      <c r="E128" s="687"/>
      <c r="F128" s="687"/>
      <c r="G128" s="687"/>
      <c r="H128" s="687"/>
      <c r="I128" s="687"/>
      <c r="J128" s="94" t="s">
        <v>213</v>
      </c>
      <c r="K128" s="94" t="s">
        <v>17</v>
      </c>
      <c r="L128" s="95" t="s">
        <v>51</v>
      </c>
      <c r="M128" s="95">
        <v>0</v>
      </c>
      <c r="N128" s="665"/>
      <c r="O128" s="687"/>
      <c r="P128" s="551" t="s">
        <v>852</v>
      </c>
      <c r="Q128" s="551" t="s">
        <v>19</v>
      </c>
      <c r="R128" s="551">
        <v>4</v>
      </c>
      <c r="S128" s="551">
        <v>1</v>
      </c>
      <c r="T128" s="551">
        <v>1</v>
      </c>
      <c r="U128" s="551">
        <v>1</v>
      </c>
      <c r="V128" s="662">
        <v>1</v>
      </c>
      <c r="W128" s="713"/>
      <c r="X128" s="715"/>
      <c r="Y128" s="671"/>
      <c r="Z128" s="671"/>
      <c r="AA128" s="655"/>
      <c r="AB128" s="655"/>
      <c r="AC128" s="655"/>
      <c r="AD128" s="80"/>
      <c r="AE128" s="339"/>
      <c r="AF128" s="257"/>
      <c r="AG128" s="257"/>
      <c r="AH128" s="257"/>
      <c r="AI128" s="257"/>
      <c r="AJ128" s="257"/>
      <c r="AK128" s="257"/>
      <c r="AL128" s="257"/>
      <c r="AM128" s="257"/>
      <c r="AN128" s="257"/>
      <c r="AO128" s="257"/>
      <c r="AP128" s="257"/>
      <c r="AQ128" s="257"/>
      <c r="AR128" s="257"/>
      <c r="AS128" s="187" t="s">
        <v>24</v>
      </c>
      <c r="AT128" s="187" t="s">
        <v>24</v>
      </c>
      <c r="AU128" s="701"/>
    </row>
    <row r="129" spans="1:47" s="1" customFormat="1" ht="81" customHeight="1" thickBot="1">
      <c r="A129" s="825"/>
      <c r="B129" s="687"/>
      <c r="C129" s="687"/>
      <c r="D129" s="687"/>
      <c r="E129" s="687"/>
      <c r="F129" s="687"/>
      <c r="G129" s="687"/>
      <c r="H129" s="687"/>
      <c r="I129" s="687"/>
      <c r="J129" s="94" t="s">
        <v>214</v>
      </c>
      <c r="K129" s="94" t="s">
        <v>17</v>
      </c>
      <c r="L129" s="95" t="s">
        <v>51</v>
      </c>
      <c r="M129" s="95">
        <v>0</v>
      </c>
      <c r="N129" s="665"/>
      <c r="O129" s="687"/>
      <c r="P129" s="551"/>
      <c r="Q129" s="551"/>
      <c r="R129" s="551"/>
      <c r="S129" s="551"/>
      <c r="T129" s="551"/>
      <c r="U129" s="551"/>
      <c r="V129" s="663"/>
      <c r="W129" s="713"/>
      <c r="X129" s="715"/>
      <c r="Y129" s="671"/>
      <c r="Z129" s="671"/>
      <c r="AA129" s="655"/>
      <c r="AB129" s="655"/>
      <c r="AC129" s="655"/>
      <c r="AD129" s="80"/>
      <c r="AE129" s="339"/>
      <c r="AF129" s="257"/>
      <c r="AG129" s="257"/>
      <c r="AH129" s="257"/>
      <c r="AI129" s="257"/>
      <c r="AJ129" s="257"/>
      <c r="AK129" s="257"/>
      <c r="AL129" s="257"/>
      <c r="AM129" s="257"/>
      <c r="AN129" s="257"/>
      <c r="AO129" s="257"/>
      <c r="AP129" s="257"/>
      <c r="AQ129" s="257"/>
      <c r="AR129" s="257"/>
      <c r="AS129" s="187" t="s">
        <v>24</v>
      </c>
      <c r="AT129" s="187" t="s">
        <v>24</v>
      </c>
      <c r="AU129" s="701"/>
    </row>
    <row r="130" spans="1:47" s="1" customFormat="1" ht="81" customHeight="1" thickBot="1">
      <c r="A130" s="825"/>
      <c r="B130" s="687"/>
      <c r="C130" s="687"/>
      <c r="D130" s="687"/>
      <c r="E130" s="687"/>
      <c r="F130" s="687"/>
      <c r="G130" s="687"/>
      <c r="H130" s="687"/>
      <c r="I130" s="687"/>
      <c r="J130" s="101" t="s">
        <v>217</v>
      </c>
      <c r="K130" s="94" t="s">
        <v>18</v>
      </c>
      <c r="L130" s="95">
        <v>100</v>
      </c>
      <c r="M130" s="95">
        <v>100</v>
      </c>
      <c r="N130" s="665"/>
      <c r="O130" s="687"/>
      <c r="P130" s="551" t="s">
        <v>407</v>
      </c>
      <c r="Q130" s="551" t="s">
        <v>19</v>
      </c>
      <c r="R130" s="551">
        <v>3</v>
      </c>
      <c r="S130" s="551">
        <v>0</v>
      </c>
      <c r="T130" s="551">
        <v>1</v>
      </c>
      <c r="U130" s="551">
        <v>1</v>
      </c>
      <c r="V130" s="536">
        <v>1</v>
      </c>
      <c r="W130" s="713"/>
      <c r="X130" s="715"/>
      <c r="Y130" s="671"/>
      <c r="Z130" s="671"/>
      <c r="AA130" s="507"/>
      <c r="AB130" s="655"/>
      <c r="AC130" s="655"/>
      <c r="AD130" s="80"/>
      <c r="AE130" s="339"/>
      <c r="AF130" s="257"/>
      <c r="AG130" s="257"/>
      <c r="AH130" s="257"/>
      <c r="AI130" s="257"/>
      <c r="AJ130" s="257"/>
      <c r="AK130" s="257"/>
      <c r="AL130" s="257"/>
      <c r="AM130" s="257"/>
      <c r="AN130" s="257"/>
      <c r="AO130" s="257"/>
      <c r="AP130" s="257"/>
      <c r="AQ130" s="257"/>
      <c r="AR130" s="257"/>
      <c r="AS130" s="187" t="s">
        <v>24</v>
      </c>
      <c r="AT130" s="187" t="s">
        <v>24</v>
      </c>
      <c r="AU130" s="701"/>
    </row>
    <row r="131" spans="1:47" s="1" customFormat="1" ht="101.25" customHeight="1" thickBot="1">
      <c r="A131" s="825"/>
      <c r="B131" s="687"/>
      <c r="C131" s="687"/>
      <c r="D131" s="687"/>
      <c r="E131" s="688"/>
      <c r="F131" s="688"/>
      <c r="G131" s="688"/>
      <c r="H131" s="688"/>
      <c r="I131" s="687"/>
      <c r="J131" s="94" t="s">
        <v>215</v>
      </c>
      <c r="K131" s="94" t="s">
        <v>18</v>
      </c>
      <c r="L131" s="95">
        <v>45</v>
      </c>
      <c r="M131" s="95">
        <v>0</v>
      </c>
      <c r="N131" s="665"/>
      <c r="O131" s="687"/>
      <c r="P131" s="551" t="s">
        <v>853</v>
      </c>
      <c r="Q131" s="551" t="s">
        <v>19</v>
      </c>
      <c r="R131" s="551">
        <v>400</v>
      </c>
      <c r="S131" s="551">
        <v>400</v>
      </c>
      <c r="T131" s="551">
        <v>400</v>
      </c>
      <c r="U131" s="551">
        <v>400</v>
      </c>
      <c r="V131" s="536">
        <v>400</v>
      </c>
      <c r="W131" s="713"/>
      <c r="X131" s="715"/>
      <c r="Y131" s="671"/>
      <c r="Z131" s="671"/>
      <c r="AA131" s="507"/>
      <c r="AB131" s="655"/>
      <c r="AC131" s="655"/>
      <c r="AD131" s="80"/>
      <c r="AE131" s="339"/>
      <c r="AF131" s="257"/>
      <c r="AG131" s="257"/>
      <c r="AH131" s="257"/>
      <c r="AI131" s="257"/>
      <c r="AJ131" s="257"/>
      <c r="AK131" s="257"/>
      <c r="AL131" s="257"/>
      <c r="AM131" s="257"/>
      <c r="AN131" s="257"/>
      <c r="AO131" s="257"/>
      <c r="AP131" s="257"/>
      <c r="AQ131" s="257"/>
      <c r="AR131" s="257"/>
      <c r="AS131" s="187" t="s">
        <v>24</v>
      </c>
      <c r="AT131" s="187" t="s">
        <v>24</v>
      </c>
      <c r="AU131" s="701"/>
    </row>
    <row r="132" spans="1:47" s="1" customFormat="1" ht="56.25" customHeight="1" thickBot="1">
      <c r="A132" s="826"/>
      <c r="B132" s="752"/>
      <c r="C132" s="752"/>
      <c r="D132" s="752"/>
      <c r="E132" s="102" t="s">
        <v>210</v>
      </c>
      <c r="F132" s="102" t="s">
        <v>18</v>
      </c>
      <c r="G132" s="103" t="s">
        <v>51</v>
      </c>
      <c r="H132" s="102">
        <v>75</v>
      </c>
      <c r="I132" s="752"/>
      <c r="J132" s="103" t="s">
        <v>216</v>
      </c>
      <c r="K132" s="103" t="s">
        <v>18</v>
      </c>
      <c r="L132" s="114">
        <v>50</v>
      </c>
      <c r="M132" s="114">
        <v>80</v>
      </c>
      <c r="N132" s="665"/>
      <c r="O132" s="752"/>
      <c r="P132" s="551" t="s">
        <v>854</v>
      </c>
      <c r="Q132" s="551" t="s">
        <v>19</v>
      </c>
      <c r="R132" s="551">
        <v>2</v>
      </c>
      <c r="S132" s="551">
        <v>0</v>
      </c>
      <c r="T132" s="551">
        <v>1</v>
      </c>
      <c r="U132" s="551">
        <v>0</v>
      </c>
      <c r="V132" s="536">
        <v>1</v>
      </c>
      <c r="W132" s="713"/>
      <c r="X132" s="715"/>
      <c r="Y132" s="727"/>
      <c r="Z132" s="671"/>
      <c r="AA132" s="507"/>
      <c r="AB132" s="655"/>
      <c r="AC132" s="655"/>
      <c r="AD132" s="80"/>
      <c r="AE132" s="339"/>
      <c r="AF132" s="257"/>
      <c r="AG132" s="257"/>
      <c r="AH132" s="257"/>
      <c r="AI132" s="257"/>
      <c r="AJ132" s="257"/>
      <c r="AK132" s="257"/>
      <c r="AL132" s="257"/>
      <c r="AM132" s="257"/>
      <c r="AN132" s="257"/>
      <c r="AO132" s="257"/>
      <c r="AP132" s="257"/>
      <c r="AQ132" s="257"/>
      <c r="AR132" s="257"/>
      <c r="AS132" s="187" t="s">
        <v>24</v>
      </c>
      <c r="AT132" s="187" t="s">
        <v>24</v>
      </c>
      <c r="AU132" s="702"/>
    </row>
    <row r="133" spans="1:47" s="1" customFormat="1" ht="98.25" customHeight="1" thickBot="1">
      <c r="A133" s="835" t="s">
        <v>501</v>
      </c>
      <c r="B133" s="838" t="s">
        <v>502</v>
      </c>
      <c r="C133" s="710" t="s">
        <v>503</v>
      </c>
      <c r="D133" s="710" t="s">
        <v>504</v>
      </c>
      <c r="E133" s="710" t="s">
        <v>505</v>
      </c>
      <c r="F133" s="710" t="s">
        <v>18</v>
      </c>
      <c r="G133" s="710">
        <v>90</v>
      </c>
      <c r="H133" s="710">
        <v>90</v>
      </c>
      <c r="I133" s="710"/>
      <c r="J133" s="838" t="s">
        <v>226</v>
      </c>
      <c r="K133" s="838" t="s">
        <v>17</v>
      </c>
      <c r="L133" s="771" t="s">
        <v>51</v>
      </c>
      <c r="M133" s="771">
        <v>2</v>
      </c>
      <c r="N133" s="772"/>
      <c r="O133" s="710" t="s">
        <v>231</v>
      </c>
      <c r="P133" s="551" t="s">
        <v>744</v>
      </c>
      <c r="Q133" s="551" t="s">
        <v>17</v>
      </c>
      <c r="R133" s="551">
        <v>12</v>
      </c>
      <c r="S133" s="551">
        <v>3</v>
      </c>
      <c r="T133" s="551">
        <v>3</v>
      </c>
      <c r="U133" s="551">
        <v>3</v>
      </c>
      <c r="V133" s="555">
        <v>3</v>
      </c>
      <c r="W133" s="712" t="s">
        <v>780</v>
      </c>
      <c r="X133" s="715"/>
      <c r="Y133" s="717">
        <v>184000000</v>
      </c>
      <c r="Z133" s="671">
        <f>+Y133</f>
        <v>184000000</v>
      </c>
      <c r="AA133" s="656"/>
      <c r="AB133" s="657"/>
      <c r="AC133" s="657"/>
      <c r="AD133" s="80"/>
      <c r="AE133" s="339"/>
      <c r="AF133" s="113"/>
      <c r="AG133" s="113"/>
      <c r="AH133" s="252"/>
      <c r="AI133" s="252"/>
      <c r="AJ133" s="252"/>
      <c r="AK133" s="252"/>
      <c r="AL133" s="252"/>
      <c r="AM133" s="252"/>
      <c r="AN133" s="252"/>
      <c r="AO133" s="252"/>
      <c r="AP133" s="252"/>
      <c r="AQ133" s="252"/>
      <c r="AR133" s="252"/>
      <c r="AS133" s="185" t="s">
        <v>430</v>
      </c>
      <c r="AT133" s="185" t="s">
        <v>430</v>
      </c>
      <c r="AU133" s="720"/>
    </row>
    <row r="134" spans="1:47" s="1" customFormat="1" ht="96" customHeight="1" thickBot="1">
      <c r="A134" s="836"/>
      <c r="B134" s="710"/>
      <c r="C134" s="710"/>
      <c r="D134" s="710"/>
      <c r="E134" s="710"/>
      <c r="F134" s="710"/>
      <c r="G134" s="710"/>
      <c r="H134" s="710"/>
      <c r="I134" s="710"/>
      <c r="J134" s="710"/>
      <c r="K134" s="710"/>
      <c r="L134" s="772"/>
      <c r="M134" s="772"/>
      <c r="N134" s="772"/>
      <c r="O134" s="710"/>
      <c r="P134" s="551" t="s">
        <v>855</v>
      </c>
      <c r="Q134" s="551" t="s">
        <v>17</v>
      </c>
      <c r="R134" s="551">
        <v>6</v>
      </c>
      <c r="S134" s="551">
        <v>3</v>
      </c>
      <c r="T134" s="551">
        <v>1</v>
      </c>
      <c r="U134" s="551">
        <v>1</v>
      </c>
      <c r="V134" s="555">
        <v>1</v>
      </c>
      <c r="W134" s="713"/>
      <c r="X134" s="715"/>
      <c r="Y134" s="671"/>
      <c r="Z134" s="671"/>
      <c r="AA134" s="656"/>
      <c r="AB134" s="657"/>
      <c r="AC134" s="657"/>
      <c r="AD134" s="80"/>
      <c r="AE134" s="339"/>
      <c r="AF134" s="113"/>
      <c r="AG134" s="113"/>
      <c r="AH134" s="252"/>
      <c r="AI134" s="252"/>
      <c r="AJ134" s="252"/>
      <c r="AK134" s="252"/>
      <c r="AL134" s="252"/>
      <c r="AM134" s="252"/>
      <c r="AN134" s="252"/>
      <c r="AO134" s="252"/>
      <c r="AP134" s="252"/>
      <c r="AQ134" s="252"/>
      <c r="AR134" s="252"/>
      <c r="AS134" s="185" t="s">
        <v>430</v>
      </c>
      <c r="AT134" s="185" t="s">
        <v>430</v>
      </c>
      <c r="AU134" s="720"/>
    </row>
    <row r="135" spans="1:47" s="1" customFormat="1" ht="83.25" customHeight="1" thickBot="1">
      <c r="A135" s="836"/>
      <c r="B135" s="710"/>
      <c r="C135" s="710"/>
      <c r="D135" s="710"/>
      <c r="E135" s="710"/>
      <c r="F135" s="710"/>
      <c r="G135" s="710"/>
      <c r="H135" s="710"/>
      <c r="I135" s="710"/>
      <c r="J135" s="711"/>
      <c r="K135" s="735"/>
      <c r="L135" s="773"/>
      <c r="M135" s="723"/>
      <c r="N135" s="772"/>
      <c r="O135" s="710"/>
      <c r="P135" s="551" t="s">
        <v>748</v>
      </c>
      <c r="Q135" s="551" t="s">
        <v>17</v>
      </c>
      <c r="R135" s="551">
        <v>6</v>
      </c>
      <c r="S135" s="551">
        <v>1</v>
      </c>
      <c r="T135" s="551">
        <v>2</v>
      </c>
      <c r="U135" s="551">
        <v>2</v>
      </c>
      <c r="V135" s="555">
        <v>1</v>
      </c>
      <c r="W135" s="713"/>
      <c r="X135" s="715"/>
      <c r="Y135" s="671"/>
      <c r="Z135" s="671"/>
      <c r="AA135" s="656"/>
      <c r="AB135" s="657"/>
      <c r="AC135" s="657"/>
      <c r="AD135" s="80"/>
      <c r="AE135" s="339"/>
      <c r="AF135" s="113"/>
      <c r="AG135" s="113"/>
      <c r="AH135" s="252"/>
      <c r="AI135" s="252"/>
      <c r="AJ135" s="252"/>
      <c r="AK135" s="252"/>
      <c r="AL135" s="252"/>
      <c r="AM135" s="252"/>
      <c r="AN135" s="252"/>
      <c r="AO135" s="252"/>
      <c r="AP135" s="252"/>
      <c r="AQ135" s="252"/>
      <c r="AR135" s="252"/>
      <c r="AS135" s="185" t="s">
        <v>430</v>
      </c>
      <c r="AT135" s="185" t="s">
        <v>430</v>
      </c>
      <c r="AU135" s="720"/>
    </row>
    <row r="136" spans="1:47" s="1" customFormat="1" ht="100.5" customHeight="1" thickBot="1">
      <c r="A136" s="836"/>
      <c r="B136" s="710"/>
      <c r="C136" s="710"/>
      <c r="D136" s="710"/>
      <c r="E136" s="710"/>
      <c r="F136" s="710"/>
      <c r="G136" s="710"/>
      <c r="H136" s="710"/>
      <c r="I136" s="710"/>
      <c r="J136" s="709" t="s">
        <v>227</v>
      </c>
      <c r="K136" s="838" t="s">
        <v>17</v>
      </c>
      <c r="L136" s="771" t="s">
        <v>51</v>
      </c>
      <c r="M136" s="722">
        <v>3</v>
      </c>
      <c r="N136" s="772"/>
      <c r="O136" s="710"/>
      <c r="P136" s="551" t="s">
        <v>856</v>
      </c>
      <c r="Q136" s="551" t="s">
        <v>17</v>
      </c>
      <c r="R136" s="551">
        <v>8</v>
      </c>
      <c r="S136" s="551">
        <v>2</v>
      </c>
      <c r="T136" s="551">
        <v>2</v>
      </c>
      <c r="U136" s="551">
        <v>2</v>
      </c>
      <c r="V136" s="555">
        <v>2</v>
      </c>
      <c r="W136" s="713"/>
      <c r="X136" s="715"/>
      <c r="Y136" s="671"/>
      <c r="Z136" s="671"/>
      <c r="AA136" s="656"/>
      <c r="AB136" s="647"/>
      <c r="AC136" s="647"/>
      <c r="AD136" s="80"/>
      <c r="AE136" s="339"/>
      <c r="AF136" s="113"/>
      <c r="AG136" s="113"/>
      <c r="AH136" s="252"/>
      <c r="AI136" s="252"/>
      <c r="AJ136" s="252"/>
      <c r="AK136" s="252"/>
      <c r="AL136" s="252"/>
      <c r="AM136" s="252"/>
      <c r="AN136" s="252"/>
      <c r="AO136" s="252"/>
      <c r="AP136" s="252"/>
      <c r="AQ136" s="252"/>
      <c r="AR136" s="252"/>
      <c r="AS136" s="185" t="s">
        <v>430</v>
      </c>
      <c r="AT136" s="185" t="s">
        <v>430</v>
      </c>
      <c r="AU136" s="720"/>
    </row>
    <row r="137" spans="1:47" s="1" customFormat="1" ht="100.5" customHeight="1" thickBot="1">
      <c r="A137" s="836"/>
      <c r="B137" s="710"/>
      <c r="C137" s="710"/>
      <c r="D137" s="710"/>
      <c r="E137" s="710"/>
      <c r="F137" s="710"/>
      <c r="G137" s="710"/>
      <c r="H137" s="710"/>
      <c r="I137" s="710"/>
      <c r="J137" s="711"/>
      <c r="K137" s="711"/>
      <c r="L137" s="723"/>
      <c r="M137" s="723"/>
      <c r="N137" s="772"/>
      <c r="O137" s="710"/>
      <c r="P137" s="551" t="s">
        <v>745</v>
      </c>
      <c r="Q137" s="551" t="s">
        <v>17</v>
      </c>
      <c r="R137" s="551">
        <v>4</v>
      </c>
      <c r="S137" s="551">
        <v>1</v>
      </c>
      <c r="T137" s="551">
        <v>1</v>
      </c>
      <c r="U137" s="551">
        <v>1</v>
      </c>
      <c r="V137" s="555">
        <v>1</v>
      </c>
      <c r="W137" s="713"/>
      <c r="X137" s="715"/>
      <c r="Y137" s="671"/>
      <c r="Z137" s="671"/>
      <c r="AA137" s="656"/>
      <c r="AB137" s="647"/>
      <c r="AC137" s="647"/>
      <c r="AD137" s="80"/>
      <c r="AE137" s="339"/>
      <c r="AF137" s="113"/>
      <c r="AG137" s="113"/>
      <c r="AH137" s="252"/>
      <c r="AI137" s="252"/>
      <c r="AJ137" s="252"/>
      <c r="AK137" s="252"/>
      <c r="AL137" s="252"/>
      <c r="AM137" s="252"/>
      <c r="AN137" s="252"/>
      <c r="AO137" s="252"/>
      <c r="AP137" s="252"/>
      <c r="AQ137" s="252"/>
      <c r="AR137" s="252"/>
      <c r="AS137" s="185" t="s">
        <v>430</v>
      </c>
      <c r="AT137" s="185" t="s">
        <v>430</v>
      </c>
      <c r="AU137" s="720"/>
    </row>
    <row r="138" spans="1:47" s="1" customFormat="1" ht="90" customHeight="1" thickBot="1">
      <c r="A138" s="836"/>
      <c r="B138" s="710"/>
      <c r="C138" s="710"/>
      <c r="D138" s="710"/>
      <c r="E138" s="711"/>
      <c r="F138" s="711"/>
      <c r="G138" s="711"/>
      <c r="H138" s="711"/>
      <c r="I138" s="710"/>
      <c r="J138" s="107" t="s">
        <v>228</v>
      </c>
      <c r="K138" s="107" t="s">
        <v>18</v>
      </c>
      <c r="L138" s="106" t="s">
        <v>51</v>
      </c>
      <c r="M138" s="106">
        <v>60</v>
      </c>
      <c r="N138" s="723"/>
      <c r="O138" s="711"/>
      <c r="P138" s="551" t="s">
        <v>746</v>
      </c>
      <c r="Q138" s="551" t="s">
        <v>17</v>
      </c>
      <c r="R138" s="551">
        <v>12</v>
      </c>
      <c r="S138" s="551">
        <v>3</v>
      </c>
      <c r="T138" s="551">
        <v>3</v>
      </c>
      <c r="U138" s="551">
        <v>3</v>
      </c>
      <c r="V138" s="555">
        <v>3</v>
      </c>
      <c r="W138" s="713"/>
      <c r="X138" s="715"/>
      <c r="Y138" s="671"/>
      <c r="Z138" s="671"/>
      <c r="AA138" s="656"/>
      <c r="AB138" s="647"/>
      <c r="AC138" s="647"/>
      <c r="AD138" s="80"/>
      <c r="AE138" s="339"/>
      <c r="AF138" s="113"/>
      <c r="AG138" s="113"/>
      <c r="AH138" s="252"/>
      <c r="AI138" s="252"/>
      <c r="AJ138" s="252"/>
      <c r="AK138" s="252"/>
      <c r="AL138" s="252"/>
      <c r="AM138" s="252"/>
      <c r="AN138" s="252"/>
      <c r="AO138" s="252"/>
      <c r="AP138" s="252"/>
      <c r="AQ138" s="252"/>
      <c r="AR138" s="252"/>
      <c r="AS138" s="185" t="s">
        <v>430</v>
      </c>
      <c r="AT138" s="185" t="s">
        <v>430</v>
      </c>
      <c r="AU138" s="720"/>
    </row>
    <row r="139" spans="1:47" s="1" customFormat="1" ht="87" customHeight="1" thickBot="1">
      <c r="A139" s="836"/>
      <c r="B139" s="710"/>
      <c r="C139" s="710"/>
      <c r="D139" s="710"/>
      <c r="E139" s="709" t="s">
        <v>225</v>
      </c>
      <c r="F139" s="709" t="s">
        <v>82</v>
      </c>
      <c r="G139" s="709" t="s">
        <v>51</v>
      </c>
      <c r="H139" s="709">
        <v>1</v>
      </c>
      <c r="I139" s="710"/>
      <c r="J139" s="107" t="s">
        <v>229</v>
      </c>
      <c r="K139" s="107" t="s">
        <v>17</v>
      </c>
      <c r="L139" s="106" t="s">
        <v>51</v>
      </c>
      <c r="M139" s="106">
        <v>1</v>
      </c>
      <c r="N139" s="722"/>
      <c r="O139" s="709" t="s">
        <v>232</v>
      </c>
      <c r="P139" s="551" t="s">
        <v>416</v>
      </c>
      <c r="Q139" s="551" t="s">
        <v>17</v>
      </c>
      <c r="R139" s="551">
        <v>12</v>
      </c>
      <c r="S139" s="551">
        <v>3</v>
      </c>
      <c r="T139" s="551">
        <v>3</v>
      </c>
      <c r="U139" s="551">
        <v>3</v>
      </c>
      <c r="V139" s="555">
        <v>3</v>
      </c>
      <c r="W139" s="713"/>
      <c r="X139" s="715"/>
      <c r="Y139" s="671"/>
      <c r="Z139" s="671"/>
      <c r="AA139" s="656"/>
      <c r="AB139" s="647"/>
      <c r="AC139" s="647"/>
      <c r="AD139" s="80"/>
      <c r="AE139" s="339"/>
      <c r="AF139" s="113"/>
      <c r="AG139" s="113"/>
      <c r="AH139" s="252"/>
      <c r="AI139" s="252"/>
      <c r="AJ139" s="252"/>
      <c r="AK139" s="252"/>
      <c r="AL139" s="252"/>
      <c r="AM139" s="252"/>
      <c r="AN139" s="252"/>
      <c r="AO139" s="252"/>
      <c r="AP139" s="252"/>
      <c r="AQ139" s="252"/>
      <c r="AR139" s="252"/>
      <c r="AS139" s="185" t="s">
        <v>430</v>
      </c>
      <c r="AT139" s="185" t="s">
        <v>430</v>
      </c>
      <c r="AU139" s="720"/>
    </row>
    <row r="140" spans="1:47" s="1" customFormat="1" ht="96" customHeight="1" thickBot="1">
      <c r="A140" s="836"/>
      <c r="B140" s="710"/>
      <c r="C140" s="710"/>
      <c r="D140" s="710"/>
      <c r="E140" s="710"/>
      <c r="F140" s="710"/>
      <c r="G140" s="710"/>
      <c r="H140" s="710"/>
      <c r="I140" s="711"/>
      <c r="J140" s="107" t="s">
        <v>230</v>
      </c>
      <c r="K140" s="107" t="s">
        <v>17</v>
      </c>
      <c r="L140" s="106" t="s">
        <v>51</v>
      </c>
      <c r="M140" s="106">
        <v>1</v>
      </c>
      <c r="N140" s="723"/>
      <c r="O140" s="711"/>
      <c r="P140" s="551" t="s">
        <v>857</v>
      </c>
      <c r="Q140" s="551" t="s">
        <v>17</v>
      </c>
      <c r="R140" s="551">
        <v>1</v>
      </c>
      <c r="S140" s="551">
        <v>0</v>
      </c>
      <c r="T140" s="551">
        <v>0</v>
      </c>
      <c r="U140" s="551">
        <v>0</v>
      </c>
      <c r="V140" s="555">
        <v>1</v>
      </c>
      <c r="W140" s="713"/>
      <c r="X140" s="715"/>
      <c r="Y140" s="671"/>
      <c r="Z140" s="671"/>
      <c r="AA140" s="656"/>
      <c r="AB140" s="642"/>
      <c r="AC140" s="642"/>
      <c r="AD140" s="80"/>
      <c r="AE140" s="339"/>
      <c r="AF140" s="113"/>
      <c r="AG140" s="113"/>
      <c r="AH140" s="252"/>
      <c r="AI140" s="252"/>
      <c r="AJ140" s="252"/>
      <c r="AK140" s="252"/>
      <c r="AL140" s="252"/>
      <c r="AM140" s="252"/>
      <c r="AN140" s="252"/>
      <c r="AO140" s="252"/>
      <c r="AP140" s="252"/>
      <c r="AQ140" s="252"/>
      <c r="AR140" s="252"/>
      <c r="AS140" s="185" t="s">
        <v>430</v>
      </c>
      <c r="AT140" s="185" t="s">
        <v>430</v>
      </c>
      <c r="AU140" s="720"/>
    </row>
    <row r="141" spans="1:47" s="1" customFormat="1" ht="96" customHeight="1" thickBot="1">
      <c r="A141" s="836"/>
      <c r="B141" s="710"/>
      <c r="C141" s="710"/>
      <c r="D141" s="710"/>
      <c r="E141" s="710"/>
      <c r="F141" s="710"/>
      <c r="G141" s="710"/>
      <c r="H141" s="710"/>
      <c r="I141" s="709" t="s">
        <v>233</v>
      </c>
      <c r="J141" s="709" t="s">
        <v>234</v>
      </c>
      <c r="K141" s="709" t="s">
        <v>17</v>
      </c>
      <c r="L141" s="722" t="s">
        <v>51</v>
      </c>
      <c r="M141" s="722">
        <v>1</v>
      </c>
      <c r="N141" s="722"/>
      <c r="O141" s="709" t="s">
        <v>235</v>
      </c>
      <c r="P141" s="551" t="s">
        <v>747</v>
      </c>
      <c r="Q141" s="551" t="s">
        <v>17</v>
      </c>
      <c r="R141" s="551">
        <v>12</v>
      </c>
      <c r="S141" s="551">
        <v>3</v>
      </c>
      <c r="T141" s="551">
        <v>3</v>
      </c>
      <c r="U141" s="551">
        <v>3</v>
      </c>
      <c r="V141" s="555">
        <v>3</v>
      </c>
      <c r="W141" s="714"/>
      <c r="X141" s="716"/>
      <c r="Y141" s="672"/>
      <c r="Z141" s="672"/>
      <c r="AA141" s="656"/>
      <c r="AB141" s="642"/>
      <c r="AC141" s="642"/>
      <c r="AD141" s="80"/>
      <c r="AE141" s="339"/>
      <c r="AF141" s="113"/>
      <c r="AG141" s="113"/>
      <c r="AH141" s="252"/>
      <c r="AI141" s="252"/>
      <c r="AJ141" s="252"/>
      <c r="AK141" s="252"/>
      <c r="AL141" s="252"/>
      <c r="AM141" s="252"/>
      <c r="AN141" s="252"/>
      <c r="AO141" s="252"/>
      <c r="AP141" s="252"/>
      <c r="AQ141" s="252"/>
      <c r="AR141" s="252"/>
      <c r="AS141" s="185" t="s">
        <v>430</v>
      </c>
      <c r="AT141" s="185" t="s">
        <v>430</v>
      </c>
      <c r="AU141" s="720"/>
    </row>
    <row r="142" spans="1:47" s="1" customFormat="1" ht="92.25" customHeight="1" thickBot="1">
      <c r="A142" s="836"/>
      <c r="B142" s="710"/>
      <c r="C142" s="711"/>
      <c r="D142" s="711"/>
      <c r="E142" s="711"/>
      <c r="F142" s="711"/>
      <c r="G142" s="711"/>
      <c r="H142" s="711"/>
      <c r="I142" s="711"/>
      <c r="J142" s="711"/>
      <c r="K142" s="711"/>
      <c r="L142" s="723"/>
      <c r="M142" s="723"/>
      <c r="N142" s="723"/>
      <c r="O142" s="711"/>
      <c r="P142" s="551" t="s">
        <v>749</v>
      </c>
      <c r="Q142" s="551" t="s">
        <v>17</v>
      </c>
      <c r="R142" s="551">
        <v>6</v>
      </c>
      <c r="S142" s="551">
        <v>1</v>
      </c>
      <c r="T142" s="551">
        <v>2</v>
      </c>
      <c r="U142" s="551">
        <v>2</v>
      </c>
      <c r="V142" s="555">
        <v>1</v>
      </c>
      <c r="W142" s="718" t="s">
        <v>781</v>
      </c>
      <c r="X142" s="728"/>
      <c r="Y142" s="673">
        <f>96000000+31634544+35424000+38544610+40114580</f>
        <v>241717734</v>
      </c>
      <c r="Z142" s="673">
        <f>+Y142</f>
        <v>241717734</v>
      </c>
      <c r="AA142" s="656"/>
      <c r="AB142" s="642"/>
      <c r="AC142" s="642"/>
      <c r="AD142" s="80"/>
      <c r="AE142" s="339"/>
      <c r="AF142" s="113"/>
      <c r="AG142" s="113"/>
      <c r="AH142" s="113"/>
      <c r="AI142" s="113"/>
      <c r="AJ142" s="113"/>
      <c r="AK142" s="113"/>
      <c r="AL142" s="113"/>
      <c r="AM142" s="113"/>
      <c r="AN142" s="113"/>
      <c r="AO142" s="113"/>
      <c r="AP142" s="113"/>
      <c r="AQ142" s="113"/>
      <c r="AR142" s="113"/>
      <c r="AS142" s="110" t="s">
        <v>431</v>
      </c>
      <c r="AT142" s="188" t="s">
        <v>431</v>
      </c>
      <c r="AU142" s="721"/>
    </row>
    <row r="143" spans="1:47" s="1" customFormat="1" ht="96.75" customHeight="1" thickBot="1">
      <c r="A143" s="836"/>
      <c r="B143" s="710"/>
      <c r="C143" s="709" t="s">
        <v>236</v>
      </c>
      <c r="D143" s="709" t="s">
        <v>237</v>
      </c>
      <c r="E143" s="709" t="s">
        <v>238</v>
      </c>
      <c r="F143" s="709" t="s">
        <v>18</v>
      </c>
      <c r="G143" s="709">
        <v>95</v>
      </c>
      <c r="H143" s="709">
        <v>95</v>
      </c>
      <c r="I143" s="709" t="s">
        <v>240</v>
      </c>
      <c r="J143" s="709" t="s">
        <v>241</v>
      </c>
      <c r="K143" s="709" t="s">
        <v>18</v>
      </c>
      <c r="L143" s="722">
        <v>92</v>
      </c>
      <c r="M143" s="722">
        <v>97</v>
      </c>
      <c r="N143" s="108"/>
      <c r="O143" s="106" t="s">
        <v>242</v>
      </c>
      <c r="P143" s="551" t="s">
        <v>506</v>
      </c>
      <c r="Q143" s="551" t="s">
        <v>17</v>
      </c>
      <c r="R143" s="551">
        <v>12</v>
      </c>
      <c r="S143" s="551">
        <v>3</v>
      </c>
      <c r="T143" s="551">
        <v>3</v>
      </c>
      <c r="U143" s="551">
        <v>3</v>
      </c>
      <c r="V143" s="555">
        <v>3</v>
      </c>
      <c r="W143" s="713"/>
      <c r="X143" s="715"/>
      <c r="Y143" s="671"/>
      <c r="Z143" s="671"/>
      <c r="AA143" s="655"/>
      <c r="AB143" s="642"/>
      <c r="AC143" s="642"/>
      <c r="AD143" s="80"/>
      <c r="AE143" s="339"/>
      <c r="AF143" s="113"/>
      <c r="AG143" s="113"/>
      <c r="AH143" s="113"/>
      <c r="AI143" s="113"/>
      <c r="AJ143" s="113"/>
      <c r="AK143" s="113"/>
      <c r="AL143" s="113"/>
      <c r="AM143" s="113"/>
      <c r="AN143" s="113"/>
      <c r="AO143" s="113"/>
      <c r="AP143" s="113"/>
      <c r="AQ143" s="113"/>
      <c r="AR143" s="113"/>
      <c r="AS143" s="188" t="s">
        <v>431</v>
      </c>
      <c r="AT143" s="188" t="s">
        <v>431</v>
      </c>
      <c r="AU143" s="700" t="s">
        <v>335</v>
      </c>
    </row>
    <row r="144" spans="1:47" s="1" customFormat="1" ht="96.75" customHeight="1" thickBot="1">
      <c r="A144" s="836"/>
      <c r="B144" s="710"/>
      <c r="C144" s="710"/>
      <c r="D144" s="710"/>
      <c r="E144" s="711"/>
      <c r="F144" s="711"/>
      <c r="G144" s="711"/>
      <c r="H144" s="711"/>
      <c r="I144" s="710"/>
      <c r="J144" s="710"/>
      <c r="K144" s="710"/>
      <c r="L144" s="772"/>
      <c r="M144" s="772"/>
      <c r="N144" s="108"/>
      <c r="O144" s="709" t="s">
        <v>243</v>
      </c>
      <c r="P144" s="551" t="s">
        <v>750</v>
      </c>
      <c r="Q144" s="551" t="s">
        <v>17</v>
      </c>
      <c r="R144" s="551">
        <v>9</v>
      </c>
      <c r="S144" s="551">
        <v>2</v>
      </c>
      <c r="T144" s="551">
        <v>2</v>
      </c>
      <c r="U144" s="551">
        <v>3</v>
      </c>
      <c r="V144" s="555">
        <v>2</v>
      </c>
      <c r="W144" s="713"/>
      <c r="X144" s="715"/>
      <c r="Y144" s="671"/>
      <c r="Z144" s="671"/>
      <c r="AA144" s="655"/>
      <c r="AB144" s="642"/>
      <c r="AC144" s="642"/>
      <c r="AD144" s="80"/>
      <c r="AE144" s="339"/>
      <c r="AF144" s="113"/>
      <c r="AG144" s="113"/>
      <c r="AH144" s="113"/>
      <c r="AI144" s="113"/>
      <c r="AJ144" s="113"/>
      <c r="AK144" s="113"/>
      <c r="AL144" s="113"/>
      <c r="AM144" s="113"/>
      <c r="AN144" s="113"/>
      <c r="AO144" s="113"/>
      <c r="AP144" s="113"/>
      <c r="AQ144" s="113"/>
      <c r="AR144" s="113"/>
      <c r="AS144" s="188" t="s">
        <v>431</v>
      </c>
      <c r="AT144" s="188" t="s">
        <v>431</v>
      </c>
      <c r="AU144" s="701"/>
    </row>
    <row r="145" spans="1:54" s="218" customFormat="1" ht="96.75" customHeight="1" thickBot="1">
      <c r="A145" s="836"/>
      <c r="B145" s="710"/>
      <c r="C145" s="710"/>
      <c r="D145" s="710"/>
      <c r="E145" s="527"/>
      <c r="F145" s="527"/>
      <c r="G145" s="527"/>
      <c r="H145" s="527"/>
      <c r="I145" s="710"/>
      <c r="J145" s="710"/>
      <c r="K145" s="710"/>
      <c r="L145" s="772"/>
      <c r="M145" s="772"/>
      <c r="N145" s="108"/>
      <c r="O145" s="710"/>
      <c r="P145" s="551" t="s">
        <v>751</v>
      </c>
      <c r="Q145" s="551" t="s">
        <v>17</v>
      </c>
      <c r="R145" s="551">
        <v>6</v>
      </c>
      <c r="S145" s="551">
        <v>1</v>
      </c>
      <c r="T145" s="551">
        <v>2</v>
      </c>
      <c r="U145" s="551">
        <v>2</v>
      </c>
      <c r="V145" s="555">
        <v>1</v>
      </c>
      <c r="W145" s="713"/>
      <c r="X145" s="715"/>
      <c r="Y145" s="671"/>
      <c r="Z145" s="671"/>
      <c r="AA145" s="655"/>
      <c r="AB145" s="642"/>
      <c r="AC145" s="642"/>
      <c r="AD145" s="80"/>
      <c r="AE145" s="339"/>
      <c r="AF145" s="113"/>
      <c r="AG145" s="113"/>
      <c r="AH145" s="113"/>
      <c r="AI145" s="113"/>
      <c r="AJ145" s="113"/>
      <c r="AK145" s="113"/>
      <c r="AL145" s="113"/>
      <c r="AM145" s="113"/>
      <c r="AN145" s="113"/>
      <c r="AO145" s="113"/>
      <c r="AP145" s="113"/>
      <c r="AQ145" s="113"/>
      <c r="AR145" s="113"/>
      <c r="AS145" s="188"/>
      <c r="AT145" s="188"/>
      <c r="AU145" s="701"/>
    </row>
    <row r="146" spans="1:54" s="1" customFormat="1" ht="100.5" customHeight="1" thickBot="1">
      <c r="A146" s="836"/>
      <c r="B146" s="710"/>
      <c r="C146" s="710"/>
      <c r="D146" s="710"/>
      <c r="E146" s="709" t="s">
        <v>239</v>
      </c>
      <c r="F146" s="709" t="s">
        <v>18</v>
      </c>
      <c r="G146" s="709">
        <v>100</v>
      </c>
      <c r="H146" s="709">
        <v>100</v>
      </c>
      <c r="I146" s="711"/>
      <c r="J146" s="711"/>
      <c r="K146" s="711"/>
      <c r="L146" s="723"/>
      <c r="M146" s="723"/>
      <c r="N146" s="108"/>
      <c r="O146" s="711"/>
      <c r="P146" s="551" t="s">
        <v>858</v>
      </c>
      <c r="Q146" s="551" t="s">
        <v>17</v>
      </c>
      <c r="R146" s="551">
        <v>6</v>
      </c>
      <c r="S146" s="551">
        <v>1</v>
      </c>
      <c r="T146" s="551">
        <v>2</v>
      </c>
      <c r="U146" s="551">
        <v>2</v>
      </c>
      <c r="V146" s="555">
        <v>1</v>
      </c>
      <c r="W146" s="713"/>
      <c r="X146" s="715"/>
      <c r="Y146" s="671"/>
      <c r="Z146" s="671"/>
      <c r="AA146" s="655"/>
      <c r="AB146" s="642"/>
      <c r="AC146" s="642"/>
      <c r="AD146" s="80"/>
      <c r="AE146" s="339"/>
      <c r="AF146" s="113"/>
      <c r="AG146" s="113"/>
      <c r="AH146" s="113"/>
      <c r="AI146" s="113"/>
      <c r="AJ146" s="113"/>
      <c r="AK146" s="113"/>
      <c r="AL146" s="113"/>
      <c r="AM146" s="113"/>
      <c r="AN146" s="113"/>
      <c r="AO146" s="113"/>
      <c r="AP146" s="113"/>
      <c r="AQ146" s="113"/>
      <c r="AR146" s="113"/>
      <c r="AS146" s="188" t="s">
        <v>431</v>
      </c>
      <c r="AT146" s="188" t="s">
        <v>431</v>
      </c>
      <c r="AU146" s="701"/>
    </row>
    <row r="147" spans="1:54" s="1" customFormat="1" ht="106.5" customHeight="1" thickBot="1">
      <c r="A147" s="836"/>
      <c r="B147" s="710"/>
      <c r="C147" s="710"/>
      <c r="D147" s="710"/>
      <c r="E147" s="710"/>
      <c r="F147" s="710"/>
      <c r="G147" s="710"/>
      <c r="H147" s="710"/>
      <c r="I147" s="709" t="s">
        <v>244</v>
      </c>
      <c r="J147" s="709" t="s">
        <v>245</v>
      </c>
      <c r="K147" s="709" t="s">
        <v>18</v>
      </c>
      <c r="L147" s="722">
        <v>100</v>
      </c>
      <c r="M147" s="722">
        <v>100</v>
      </c>
      <c r="N147" s="108"/>
      <c r="O147" s="722" t="s">
        <v>246</v>
      </c>
      <c r="P147" s="551" t="s">
        <v>422</v>
      </c>
      <c r="Q147" s="551" t="s">
        <v>17</v>
      </c>
      <c r="R147" s="551">
        <v>4</v>
      </c>
      <c r="S147" s="551">
        <v>1</v>
      </c>
      <c r="T147" s="551">
        <v>1</v>
      </c>
      <c r="U147" s="551">
        <v>1</v>
      </c>
      <c r="V147" s="555">
        <v>1</v>
      </c>
      <c r="W147" s="713"/>
      <c r="X147" s="715"/>
      <c r="Y147" s="671"/>
      <c r="Z147" s="671"/>
      <c r="AA147" s="655"/>
      <c r="AB147" s="642"/>
      <c r="AC147" s="642"/>
      <c r="AD147" s="80"/>
      <c r="AE147" s="339"/>
      <c r="AF147" s="113"/>
      <c r="AG147" s="113"/>
      <c r="AH147" s="113"/>
      <c r="AI147" s="113"/>
      <c r="AJ147" s="113"/>
      <c r="AK147" s="113"/>
      <c r="AL147" s="113"/>
      <c r="AM147" s="113"/>
      <c r="AN147" s="113"/>
      <c r="AO147" s="113"/>
      <c r="AP147" s="113"/>
      <c r="AQ147" s="113"/>
      <c r="AR147" s="113"/>
      <c r="AS147" s="188" t="s">
        <v>431</v>
      </c>
      <c r="AT147" s="188" t="s">
        <v>431</v>
      </c>
      <c r="AU147" s="701"/>
    </row>
    <row r="148" spans="1:54" s="1" customFormat="1" ht="75.75" customHeight="1" thickBot="1">
      <c r="A148" s="836"/>
      <c r="B148" s="710"/>
      <c r="C148" s="710"/>
      <c r="D148" s="710"/>
      <c r="E148" s="710"/>
      <c r="F148" s="710"/>
      <c r="G148" s="710"/>
      <c r="H148" s="710"/>
      <c r="I148" s="710"/>
      <c r="J148" s="710"/>
      <c r="K148" s="710"/>
      <c r="L148" s="772"/>
      <c r="M148" s="772"/>
      <c r="N148" s="108"/>
      <c r="O148" s="723"/>
      <c r="P148" s="551" t="s">
        <v>859</v>
      </c>
      <c r="Q148" s="551" t="s">
        <v>17</v>
      </c>
      <c r="R148" s="551">
        <v>6</v>
      </c>
      <c r="S148" s="551">
        <v>1</v>
      </c>
      <c r="T148" s="551">
        <v>2</v>
      </c>
      <c r="U148" s="551">
        <v>2</v>
      </c>
      <c r="V148" s="555">
        <v>1</v>
      </c>
      <c r="W148" s="713"/>
      <c r="X148" s="715"/>
      <c r="Y148" s="671"/>
      <c r="Z148" s="671"/>
      <c r="AA148" s="655"/>
      <c r="AB148" s="642"/>
      <c r="AC148" s="642"/>
      <c r="AD148" s="80"/>
      <c r="AE148" s="339"/>
      <c r="AF148" s="113"/>
      <c r="AG148" s="113"/>
      <c r="AH148" s="113"/>
      <c r="AI148" s="113"/>
      <c r="AJ148" s="113"/>
      <c r="AK148" s="113"/>
      <c r="AL148" s="113"/>
      <c r="AM148" s="113"/>
      <c r="AN148" s="113"/>
      <c r="AO148" s="113"/>
      <c r="AP148" s="113"/>
      <c r="AQ148" s="113"/>
      <c r="AR148" s="113"/>
      <c r="AS148" s="188" t="s">
        <v>431</v>
      </c>
      <c r="AT148" s="188" t="s">
        <v>431</v>
      </c>
      <c r="AU148" s="701"/>
    </row>
    <row r="149" spans="1:54" s="1" customFormat="1" ht="42.75" customHeight="1" thickBot="1">
      <c r="A149" s="836"/>
      <c r="B149" s="710"/>
      <c r="C149" s="710"/>
      <c r="D149" s="710"/>
      <c r="E149" s="710"/>
      <c r="F149" s="710"/>
      <c r="G149" s="710"/>
      <c r="H149" s="710"/>
      <c r="I149" s="710"/>
      <c r="J149" s="710"/>
      <c r="K149" s="710"/>
      <c r="L149" s="772"/>
      <c r="M149" s="772"/>
      <c r="N149" s="108"/>
      <c r="O149" s="722" t="s">
        <v>248</v>
      </c>
      <c r="P149" s="551" t="s">
        <v>860</v>
      </c>
      <c r="Q149" s="551" t="s">
        <v>17</v>
      </c>
      <c r="R149" s="551">
        <v>12</v>
      </c>
      <c r="S149" s="551">
        <v>3</v>
      </c>
      <c r="T149" s="551">
        <v>3</v>
      </c>
      <c r="U149" s="551">
        <v>3</v>
      </c>
      <c r="V149" s="555">
        <v>3</v>
      </c>
      <c r="W149" s="713"/>
      <c r="X149" s="715"/>
      <c r="Y149" s="671"/>
      <c r="Z149" s="671"/>
      <c r="AA149" s="655"/>
      <c r="AB149" s="642"/>
      <c r="AC149" s="642"/>
      <c r="AD149" s="80"/>
      <c r="AE149" s="339"/>
      <c r="AF149" s="113"/>
      <c r="AG149" s="113"/>
      <c r="AH149" s="113"/>
      <c r="AI149" s="113"/>
      <c r="AJ149" s="113"/>
      <c r="AK149" s="113"/>
      <c r="AL149" s="113"/>
      <c r="AM149" s="113"/>
      <c r="AN149" s="113"/>
      <c r="AO149" s="113"/>
      <c r="AP149" s="113"/>
      <c r="AQ149" s="113"/>
      <c r="AR149" s="113"/>
      <c r="AS149" s="188" t="s">
        <v>431</v>
      </c>
      <c r="AT149" s="188" t="s">
        <v>431</v>
      </c>
      <c r="AU149" s="701"/>
    </row>
    <row r="150" spans="1:54" s="1" customFormat="1" ht="63" customHeight="1" thickBot="1">
      <c r="A150" s="836"/>
      <c r="B150" s="710"/>
      <c r="C150" s="710"/>
      <c r="D150" s="710"/>
      <c r="E150" s="710"/>
      <c r="F150" s="710"/>
      <c r="G150" s="710"/>
      <c r="H150" s="710"/>
      <c r="I150" s="710"/>
      <c r="J150" s="710"/>
      <c r="K150" s="710"/>
      <c r="L150" s="772"/>
      <c r="M150" s="772"/>
      <c r="N150" s="108"/>
      <c r="O150" s="772"/>
      <c r="P150" s="551" t="s">
        <v>426</v>
      </c>
      <c r="Q150" s="551" t="s">
        <v>17</v>
      </c>
      <c r="R150" s="551">
        <v>10</v>
      </c>
      <c r="S150" s="551">
        <v>2</v>
      </c>
      <c r="T150" s="551">
        <v>3</v>
      </c>
      <c r="U150" s="551">
        <v>3</v>
      </c>
      <c r="V150" s="555">
        <v>2</v>
      </c>
      <c r="W150" s="713"/>
      <c r="X150" s="715"/>
      <c r="Y150" s="671"/>
      <c r="Z150" s="671"/>
      <c r="AA150" s="655"/>
      <c r="AB150" s="642"/>
      <c r="AC150" s="642"/>
      <c r="AD150" s="80"/>
      <c r="AE150" s="339"/>
      <c r="AF150" s="113"/>
      <c r="AG150" s="113"/>
      <c r="AH150" s="113"/>
      <c r="AI150" s="113"/>
      <c r="AJ150" s="113"/>
      <c r="AK150" s="113"/>
      <c r="AL150" s="113"/>
      <c r="AM150" s="113"/>
      <c r="AN150" s="113"/>
      <c r="AO150" s="113"/>
      <c r="AP150" s="113"/>
      <c r="AQ150" s="113"/>
      <c r="AR150" s="113"/>
      <c r="AS150" s="188" t="s">
        <v>431</v>
      </c>
      <c r="AT150" s="188" t="s">
        <v>431</v>
      </c>
      <c r="AU150" s="701"/>
    </row>
    <row r="151" spans="1:54" s="1" customFormat="1" ht="96" customHeight="1" thickBot="1">
      <c r="A151" s="836"/>
      <c r="B151" s="710"/>
      <c r="C151" s="710"/>
      <c r="D151" s="710"/>
      <c r="E151" s="710"/>
      <c r="F151" s="710"/>
      <c r="G151" s="710"/>
      <c r="H151" s="710"/>
      <c r="I151" s="710"/>
      <c r="J151" s="710"/>
      <c r="K151" s="710"/>
      <c r="L151" s="772"/>
      <c r="M151" s="772"/>
      <c r="N151" s="108"/>
      <c r="O151" s="723"/>
      <c r="P151" s="551" t="s">
        <v>861</v>
      </c>
      <c r="Q151" s="551" t="s">
        <v>17</v>
      </c>
      <c r="R151" s="551">
        <v>12</v>
      </c>
      <c r="S151" s="551">
        <v>3</v>
      </c>
      <c r="T151" s="551">
        <v>3</v>
      </c>
      <c r="U151" s="551">
        <v>3</v>
      </c>
      <c r="V151" s="555">
        <v>3</v>
      </c>
      <c r="W151" s="713"/>
      <c r="X151" s="715"/>
      <c r="Y151" s="671"/>
      <c r="Z151" s="671"/>
      <c r="AA151" s="655"/>
      <c r="AB151" s="642"/>
      <c r="AC151" s="642"/>
      <c r="AD151" s="80"/>
      <c r="AE151" s="339"/>
      <c r="AF151" s="113"/>
      <c r="AG151" s="113"/>
      <c r="AH151" s="113"/>
      <c r="AI151" s="113"/>
      <c r="AJ151" s="113"/>
      <c r="AK151" s="113"/>
      <c r="AL151" s="113"/>
      <c r="AM151" s="113"/>
      <c r="AN151" s="113"/>
      <c r="AO151" s="113"/>
      <c r="AP151" s="113"/>
      <c r="AQ151" s="113"/>
      <c r="AR151" s="113"/>
      <c r="AS151" s="188" t="s">
        <v>431</v>
      </c>
      <c r="AT151" s="188" t="s">
        <v>431</v>
      </c>
      <c r="AU151" s="701"/>
    </row>
    <row r="152" spans="1:54" s="1" customFormat="1" ht="126" customHeight="1" thickBot="1">
      <c r="A152" s="836"/>
      <c r="B152" s="710"/>
      <c r="C152" s="710"/>
      <c r="D152" s="710"/>
      <c r="E152" s="710"/>
      <c r="F152" s="710"/>
      <c r="G152" s="710"/>
      <c r="H152" s="710"/>
      <c r="I152" s="710"/>
      <c r="J152" s="710"/>
      <c r="K152" s="710"/>
      <c r="L152" s="772"/>
      <c r="M152" s="772"/>
      <c r="N152" s="108"/>
      <c r="O152" s="110" t="s">
        <v>249</v>
      </c>
      <c r="P152" s="551" t="s">
        <v>862</v>
      </c>
      <c r="Q152" s="551" t="s">
        <v>17</v>
      </c>
      <c r="R152" s="551">
        <v>12</v>
      </c>
      <c r="S152" s="551">
        <v>3</v>
      </c>
      <c r="T152" s="551">
        <v>3</v>
      </c>
      <c r="U152" s="551">
        <v>3</v>
      </c>
      <c r="V152" s="555">
        <v>3</v>
      </c>
      <c r="W152" s="713"/>
      <c r="X152" s="715"/>
      <c r="Y152" s="671"/>
      <c r="Z152" s="671"/>
      <c r="AA152" s="655"/>
      <c r="AB152" s="642"/>
      <c r="AC152" s="642"/>
      <c r="AD152" s="80"/>
      <c r="AE152" s="339"/>
      <c r="AF152" s="113"/>
      <c r="AG152" s="113"/>
      <c r="AH152" s="113"/>
      <c r="AI152" s="113"/>
      <c r="AJ152" s="113"/>
      <c r="AK152" s="113"/>
      <c r="AL152" s="113"/>
      <c r="AM152" s="113"/>
      <c r="AN152" s="113"/>
      <c r="AO152" s="113"/>
      <c r="AP152" s="113"/>
      <c r="AQ152" s="113"/>
      <c r="AR152" s="113"/>
      <c r="AS152" s="188" t="s">
        <v>431</v>
      </c>
      <c r="AT152" s="188" t="s">
        <v>431</v>
      </c>
      <c r="AU152" s="701"/>
    </row>
    <row r="153" spans="1:54" s="1" customFormat="1" ht="75" customHeight="1" thickBot="1">
      <c r="A153" s="837"/>
      <c r="B153" s="735"/>
      <c r="C153" s="735"/>
      <c r="D153" s="735"/>
      <c r="E153" s="735"/>
      <c r="F153" s="735"/>
      <c r="G153" s="735"/>
      <c r="H153" s="735"/>
      <c r="I153" s="735"/>
      <c r="J153" s="735"/>
      <c r="K153" s="735"/>
      <c r="L153" s="773"/>
      <c r="M153" s="773"/>
      <c r="N153" s="118"/>
      <c r="O153" s="117" t="s">
        <v>250</v>
      </c>
      <c r="P153" s="551" t="s">
        <v>752</v>
      </c>
      <c r="Q153" s="551" t="s">
        <v>17</v>
      </c>
      <c r="R153" s="551">
        <v>4</v>
      </c>
      <c r="S153" s="551">
        <v>1</v>
      </c>
      <c r="T153" s="551">
        <v>1</v>
      </c>
      <c r="U153" s="551">
        <v>1</v>
      </c>
      <c r="V153" s="628">
        <v>1</v>
      </c>
      <c r="W153" s="719"/>
      <c r="X153" s="726"/>
      <c r="Y153" s="727"/>
      <c r="Z153" s="727"/>
      <c r="AA153" s="655"/>
      <c r="AB153" s="642"/>
      <c r="AC153" s="642"/>
      <c r="AD153" s="80"/>
      <c r="AE153" s="339"/>
      <c r="AF153" s="113"/>
      <c r="AG153" s="113"/>
      <c r="AH153" s="113"/>
      <c r="AI153" s="113"/>
      <c r="AJ153" s="113"/>
      <c r="AK153" s="113"/>
      <c r="AL153" s="113"/>
      <c r="AM153" s="113"/>
      <c r="AN153" s="113"/>
      <c r="AO153" s="113"/>
      <c r="AP153" s="113"/>
      <c r="AQ153" s="113"/>
      <c r="AR153" s="113"/>
      <c r="AS153" s="188" t="s">
        <v>431</v>
      </c>
      <c r="AT153" s="188" t="s">
        <v>431</v>
      </c>
      <c r="AU153" s="702"/>
    </row>
    <row r="154" spans="1:54" s="1" customFormat="1" ht="97.5" customHeight="1" thickBot="1">
      <c r="A154" s="832" t="s">
        <v>251</v>
      </c>
      <c r="B154" s="706" t="s">
        <v>252</v>
      </c>
      <c r="C154" s="706" t="s">
        <v>253</v>
      </c>
      <c r="D154" s="706" t="s">
        <v>254</v>
      </c>
      <c r="E154" s="120" t="s">
        <v>255</v>
      </c>
      <c r="F154" s="120" t="s">
        <v>17</v>
      </c>
      <c r="G154" s="120">
        <v>3</v>
      </c>
      <c r="H154" s="120">
        <v>9</v>
      </c>
      <c r="I154" s="706" t="s">
        <v>257</v>
      </c>
      <c r="J154" s="706" t="s">
        <v>258</v>
      </c>
      <c r="K154" s="706" t="s">
        <v>259</v>
      </c>
      <c r="L154" s="857">
        <v>2</v>
      </c>
      <c r="M154" s="857">
        <v>7</v>
      </c>
      <c r="N154" s="121"/>
      <c r="O154" s="706" t="s">
        <v>260</v>
      </c>
      <c r="P154" s="551" t="s">
        <v>563</v>
      </c>
      <c r="Q154" s="551" t="s">
        <v>452</v>
      </c>
      <c r="R154" s="551">
        <v>4</v>
      </c>
      <c r="S154" s="551">
        <v>1</v>
      </c>
      <c r="T154" s="551">
        <v>1</v>
      </c>
      <c r="U154" s="551">
        <v>1</v>
      </c>
      <c r="V154" s="629">
        <v>1</v>
      </c>
      <c r="W154" s="855" t="s">
        <v>774</v>
      </c>
      <c r="X154" s="725"/>
      <c r="Y154" s="717">
        <v>252052566</v>
      </c>
      <c r="Z154" s="717">
        <f>+Y154</f>
        <v>252052566</v>
      </c>
      <c r="AA154" s="655"/>
      <c r="AB154" s="507"/>
      <c r="AC154" s="507"/>
      <c r="AD154" s="80"/>
      <c r="AE154" s="339"/>
      <c r="AF154" s="130"/>
      <c r="AG154" s="130"/>
      <c r="AH154" s="291"/>
      <c r="AI154" s="291"/>
      <c r="AJ154" s="291"/>
      <c r="AK154" s="291"/>
      <c r="AL154" s="291"/>
      <c r="AM154" s="291"/>
      <c r="AN154" s="291"/>
      <c r="AO154" s="291"/>
      <c r="AP154" s="291"/>
      <c r="AQ154" s="291"/>
      <c r="AR154" s="291"/>
      <c r="AS154" s="120" t="s">
        <v>342</v>
      </c>
      <c r="AT154" s="120" t="s">
        <v>342</v>
      </c>
      <c r="AU154" s="700" t="s">
        <v>337</v>
      </c>
    </row>
    <row r="155" spans="1:54" s="218" customFormat="1" ht="97.5" customHeight="1" thickBot="1">
      <c r="A155" s="833"/>
      <c r="B155" s="707"/>
      <c r="C155" s="707"/>
      <c r="D155" s="707"/>
      <c r="E155" s="625"/>
      <c r="F155" s="625"/>
      <c r="G155" s="625"/>
      <c r="H155" s="625"/>
      <c r="I155" s="707"/>
      <c r="J155" s="707"/>
      <c r="K155" s="707"/>
      <c r="L155" s="858"/>
      <c r="M155" s="858"/>
      <c r="N155" s="630"/>
      <c r="O155" s="707"/>
      <c r="P155" s="551" t="s">
        <v>927</v>
      </c>
      <c r="Q155" s="551" t="s">
        <v>452</v>
      </c>
      <c r="R155" s="551">
        <v>2</v>
      </c>
      <c r="S155" s="551">
        <v>0</v>
      </c>
      <c r="T155" s="551">
        <v>0</v>
      </c>
      <c r="U155" s="551">
        <v>1</v>
      </c>
      <c r="V155" s="629">
        <v>1</v>
      </c>
      <c r="W155" s="730"/>
      <c r="X155" s="715"/>
      <c r="Y155" s="671"/>
      <c r="Z155" s="671"/>
      <c r="AA155" s="655"/>
      <c r="AB155" s="507"/>
      <c r="AC155" s="507"/>
      <c r="AD155" s="80"/>
      <c r="AE155" s="339"/>
      <c r="AF155" s="130"/>
      <c r="AG155" s="130"/>
      <c r="AH155" s="291"/>
      <c r="AI155" s="291"/>
      <c r="AJ155" s="291"/>
      <c r="AK155" s="291"/>
      <c r="AL155" s="291"/>
      <c r="AM155" s="291"/>
      <c r="AN155" s="291"/>
      <c r="AO155" s="291"/>
      <c r="AP155" s="291"/>
      <c r="AQ155" s="291"/>
      <c r="AR155" s="291"/>
      <c r="AS155" s="120"/>
      <c r="AT155" s="120"/>
      <c r="AU155" s="701"/>
    </row>
    <row r="156" spans="1:54" s="1" customFormat="1" ht="108" customHeight="1" thickBot="1">
      <c r="A156" s="833"/>
      <c r="B156" s="707"/>
      <c r="C156" s="708"/>
      <c r="D156" s="708"/>
      <c r="E156" s="124" t="s">
        <v>256</v>
      </c>
      <c r="F156" s="125" t="s">
        <v>17</v>
      </c>
      <c r="G156" s="125" t="s">
        <v>51</v>
      </c>
      <c r="H156" s="125">
        <v>6</v>
      </c>
      <c r="I156" s="708"/>
      <c r="J156" s="708"/>
      <c r="K156" s="708"/>
      <c r="L156" s="859"/>
      <c r="M156" s="859"/>
      <c r="N156" s="126"/>
      <c r="O156" s="708"/>
      <c r="P156" s="551" t="s">
        <v>926</v>
      </c>
      <c r="Q156" s="551" t="s">
        <v>452</v>
      </c>
      <c r="R156" s="551">
        <v>2</v>
      </c>
      <c r="S156" s="551"/>
      <c r="T156" s="551">
        <v>0</v>
      </c>
      <c r="U156" s="551">
        <v>1</v>
      </c>
      <c r="V156" s="629">
        <v>1</v>
      </c>
      <c r="W156" s="731"/>
      <c r="X156" s="716"/>
      <c r="Y156" s="671"/>
      <c r="Z156" s="671"/>
      <c r="AA156" s="655"/>
      <c r="AB156" s="507"/>
      <c r="AC156" s="507"/>
      <c r="AD156" s="80"/>
      <c r="AE156" s="339"/>
      <c r="AF156" s="130"/>
      <c r="AG156" s="130"/>
      <c r="AH156" s="291"/>
      <c r="AI156" s="291"/>
      <c r="AJ156" s="291"/>
      <c r="AK156" s="291"/>
      <c r="AL156" s="291"/>
      <c r="AM156" s="291"/>
      <c r="AN156" s="291"/>
      <c r="AO156" s="291"/>
      <c r="AP156" s="291"/>
      <c r="AQ156" s="291"/>
      <c r="AR156" s="291"/>
      <c r="AS156" s="120" t="s">
        <v>342</v>
      </c>
      <c r="AT156" s="120" t="s">
        <v>342</v>
      </c>
      <c r="AU156" s="701"/>
      <c r="AW156" s="1">
        <v>1020100</v>
      </c>
      <c r="AY156" s="1">
        <v>89838668.807999998</v>
      </c>
      <c r="AZ156" s="1">
        <f>+AY156/2</f>
        <v>44919334.403999999</v>
      </c>
      <c r="BB156" s="1">
        <v>44919334.403999999</v>
      </c>
    </row>
    <row r="157" spans="1:54" s="1" customFormat="1" ht="143.25" customHeight="1" thickBot="1">
      <c r="A157" s="833"/>
      <c r="B157" s="707"/>
      <c r="C157" s="704" t="s">
        <v>319</v>
      </c>
      <c r="D157" s="704" t="s">
        <v>261</v>
      </c>
      <c r="E157" s="704" t="s">
        <v>262</v>
      </c>
      <c r="F157" s="704" t="s">
        <v>18</v>
      </c>
      <c r="G157" s="704" t="s">
        <v>51</v>
      </c>
      <c r="H157" s="704">
        <v>30</v>
      </c>
      <c r="I157" s="704" t="s">
        <v>263</v>
      </c>
      <c r="J157" s="131" t="s">
        <v>264</v>
      </c>
      <c r="K157" s="131" t="s">
        <v>17</v>
      </c>
      <c r="L157" s="128">
        <v>2</v>
      </c>
      <c r="M157" s="128">
        <v>3</v>
      </c>
      <c r="N157" s="126"/>
      <c r="O157" s="704" t="s">
        <v>266</v>
      </c>
      <c r="P157" s="551" t="s">
        <v>863</v>
      </c>
      <c r="Q157" s="551">
        <v>1</v>
      </c>
      <c r="R157" s="551" t="s">
        <v>17</v>
      </c>
      <c r="S157" s="551">
        <v>0</v>
      </c>
      <c r="T157" s="551">
        <v>1</v>
      </c>
      <c r="U157" s="551">
        <v>0</v>
      </c>
      <c r="V157" s="536">
        <v>0</v>
      </c>
      <c r="W157" s="575">
        <v>0</v>
      </c>
      <c r="X157" s="576"/>
      <c r="Y157" s="671"/>
      <c r="Z157" s="671"/>
      <c r="AA157" s="655"/>
      <c r="AB157" s="507"/>
      <c r="AC157" s="507"/>
      <c r="AD157" s="80"/>
      <c r="AE157" s="339"/>
      <c r="AF157" s="130"/>
      <c r="AG157" s="130"/>
      <c r="AH157" s="291"/>
      <c r="AI157" s="291"/>
      <c r="AJ157" s="291"/>
      <c r="AK157" s="291"/>
      <c r="AL157" s="291"/>
      <c r="AM157" s="291"/>
      <c r="AN157" s="291"/>
      <c r="AO157" s="291"/>
      <c r="AP157" s="291"/>
      <c r="AQ157" s="291"/>
      <c r="AR157" s="291"/>
      <c r="AS157" s="120" t="s">
        <v>342</v>
      </c>
      <c r="AT157" s="120" t="s">
        <v>342</v>
      </c>
      <c r="AU157" s="701"/>
    </row>
    <row r="158" spans="1:54" s="1" customFormat="1" ht="77.25" customHeight="1" thickBot="1">
      <c r="A158" s="834"/>
      <c r="B158" s="705"/>
      <c r="C158" s="705"/>
      <c r="D158" s="705"/>
      <c r="E158" s="705"/>
      <c r="F158" s="705"/>
      <c r="G158" s="705"/>
      <c r="H158" s="705"/>
      <c r="I158" s="705"/>
      <c r="J158" s="132" t="s">
        <v>265</v>
      </c>
      <c r="K158" s="132" t="s">
        <v>18</v>
      </c>
      <c r="L158" s="132">
        <v>80</v>
      </c>
      <c r="M158" s="132">
        <v>90</v>
      </c>
      <c r="N158" s="134"/>
      <c r="O158" s="705"/>
      <c r="P158" s="551" t="s">
        <v>864</v>
      </c>
      <c r="Q158" s="551" t="s">
        <v>17</v>
      </c>
      <c r="R158" s="551">
        <v>1</v>
      </c>
      <c r="S158" s="551">
        <v>0</v>
      </c>
      <c r="T158" s="551">
        <v>0</v>
      </c>
      <c r="U158" s="551">
        <v>0</v>
      </c>
      <c r="V158" s="536">
        <v>1</v>
      </c>
      <c r="W158" s="577">
        <v>0</v>
      </c>
      <c r="X158" s="578"/>
      <c r="Y158" s="672"/>
      <c r="Z158" s="672"/>
      <c r="AA158" s="655"/>
      <c r="AB158" s="507"/>
      <c r="AC158" s="507"/>
      <c r="AD158" s="80"/>
      <c r="AE158" s="339"/>
      <c r="AF158" s="130"/>
      <c r="AG158" s="130"/>
      <c r="AH158" s="291"/>
      <c r="AI158" s="291"/>
      <c r="AJ158" s="291"/>
      <c r="AK158" s="291"/>
      <c r="AL158" s="291"/>
      <c r="AM158" s="291"/>
      <c r="AN158" s="291"/>
      <c r="AO158" s="291"/>
      <c r="AP158" s="291"/>
      <c r="AQ158" s="291"/>
      <c r="AR158" s="291"/>
      <c r="AS158" s="120" t="s">
        <v>342</v>
      </c>
      <c r="AT158" s="120" t="s">
        <v>342</v>
      </c>
      <c r="AU158" s="702"/>
    </row>
    <row r="159" spans="1:54" s="1" customFormat="1" ht="114.75" customHeight="1" thickBot="1">
      <c r="A159" s="840" t="s">
        <v>798</v>
      </c>
      <c r="B159" s="669" t="s">
        <v>800</v>
      </c>
      <c r="C159" s="669" t="s">
        <v>799</v>
      </c>
      <c r="D159" s="669"/>
      <c r="E159" s="669"/>
      <c r="F159" s="669"/>
      <c r="G159" s="669"/>
      <c r="H159" s="669"/>
      <c r="I159" s="669"/>
      <c r="J159" s="669" t="s">
        <v>754</v>
      </c>
      <c r="K159" s="669"/>
      <c r="L159" s="667"/>
      <c r="M159" s="667"/>
      <c r="N159" s="139"/>
      <c r="O159" s="703" t="s">
        <v>273</v>
      </c>
      <c r="P159" s="551" t="s">
        <v>753</v>
      </c>
      <c r="Q159" s="551" t="s">
        <v>17</v>
      </c>
      <c r="R159" s="551">
        <v>1</v>
      </c>
      <c r="S159" s="551">
        <v>1</v>
      </c>
      <c r="T159" s="551">
        <v>0</v>
      </c>
      <c r="U159" s="551">
        <v>0</v>
      </c>
      <c r="V159" s="556">
        <v>0</v>
      </c>
      <c r="W159" s="855" t="s">
        <v>776</v>
      </c>
      <c r="X159" s="725"/>
      <c r="Y159" s="673">
        <f>84000000+308400000</f>
        <v>392400000</v>
      </c>
      <c r="Z159" s="673">
        <f>+Y159</f>
        <v>392400000</v>
      </c>
      <c r="AA159" s="655"/>
      <c r="AB159" s="508"/>
      <c r="AC159" s="642"/>
      <c r="AD159" s="80"/>
      <c r="AE159" s="339"/>
      <c r="AF159" s="80"/>
      <c r="AG159" s="80"/>
      <c r="AH159" s="250"/>
      <c r="AI159" s="250"/>
      <c r="AJ159" s="250"/>
      <c r="AK159" s="250"/>
      <c r="AL159" s="250"/>
      <c r="AM159" s="250"/>
      <c r="AN159" s="250"/>
      <c r="AO159" s="250"/>
      <c r="AP159" s="250"/>
      <c r="AQ159" s="250"/>
      <c r="AR159" s="250"/>
      <c r="AS159" s="73" t="s">
        <v>460</v>
      </c>
      <c r="AT159" s="73" t="s">
        <v>460</v>
      </c>
      <c r="AU159" s="701"/>
    </row>
    <row r="160" spans="1:54" s="1" customFormat="1" ht="114.75" customHeight="1" thickBot="1">
      <c r="A160" s="840"/>
      <c r="B160" s="669"/>
      <c r="C160" s="669"/>
      <c r="D160" s="669"/>
      <c r="E160" s="669"/>
      <c r="F160" s="669"/>
      <c r="G160" s="669"/>
      <c r="H160" s="669"/>
      <c r="I160" s="669"/>
      <c r="J160" s="669"/>
      <c r="K160" s="669"/>
      <c r="L160" s="667"/>
      <c r="M160" s="667"/>
      <c r="N160" s="139"/>
      <c r="O160" s="703"/>
      <c r="P160" s="551" t="s">
        <v>755</v>
      </c>
      <c r="Q160" s="551" t="s">
        <v>18</v>
      </c>
      <c r="R160" s="551">
        <v>1</v>
      </c>
      <c r="S160" s="551">
        <v>25</v>
      </c>
      <c r="T160" s="551">
        <v>25</v>
      </c>
      <c r="U160" s="551">
        <v>25</v>
      </c>
      <c r="V160" s="542">
        <v>25</v>
      </c>
      <c r="W160" s="730"/>
      <c r="X160" s="715"/>
      <c r="Y160" s="671"/>
      <c r="Z160" s="671"/>
      <c r="AA160" s="655"/>
      <c r="AB160" s="508"/>
      <c r="AC160" s="642"/>
      <c r="AD160" s="80"/>
      <c r="AE160" s="339"/>
      <c r="AF160" s="80"/>
      <c r="AG160" s="80"/>
      <c r="AH160" s="250"/>
      <c r="AI160" s="250"/>
      <c r="AJ160" s="250"/>
      <c r="AK160" s="250"/>
      <c r="AL160" s="250"/>
      <c r="AM160" s="250"/>
      <c r="AN160" s="250"/>
      <c r="AO160" s="250"/>
      <c r="AP160" s="250"/>
      <c r="AQ160" s="250"/>
      <c r="AR160" s="250"/>
      <c r="AS160" s="73" t="s">
        <v>460</v>
      </c>
      <c r="AT160" s="73" t="s">
        <v>460</v>
      </c>
      <c r="AU160" s="701"/>
    </row>
    <row r="161" spans="1:53" s="1" customFormat="1" ht="114.75" customHeight="1" thickBot="1">
      <c r="A161" s="840"/>
      <c r="B161" s="669"/>
      <c r="C161" s="669"/>
      <c r="D161" s="669"/>
      <c r="E161" s="669"/>
      <c r="F161" s="669"/>
      <c r="G161" s="669"/>
      <c r="H161" s="669"/>
      <c r="I161" s="669"/>
      <c r="J161" s="669"/>
      <c r="K161" s="669"/>
      <c r="L161" s="667"/>
      <c r="M161" s="667"/>
      <c r="N161" s="139"/>
      <c r="O161" s="849" t="s">
        <v>274</v>
      </c>
      <c r="P161" s="551" t="s">
        <v>371</v>
      </c>
      <c r="Q161" s="551" t="s">
        <v>452</v>
      </c>
      <c r="R161" s="551">
        <v>1</v>
      </c>
      <c r="S161" s="551">
        <v>0</v>
      </c>
      <c r="T161" s="551">
        <v>0</v>
      </c>
      <c r="U161" s="551">
        <v>0</v>
      </c>
      <c r="V161" s="536">
        <v>1</v>
      </c>
      <c r="W161" s="730"/>
      <c r="X161" s="715"/>
      <c r="Y161" s="671"/>
      <c r="Z161" s="671"/>
      <c r="AA161" s="642"/>
      <c r="AB161" s="642"/>
      <c r="AC161" s="642"/>
      <c r="AD161" s="80"/>
      <c r="AE161" s="339"/>
      <c r="AF161" s="80"/>
      <c r="AG161" s="80"/>
      <c r="AH161" s="250"/>
      <c r="AI161" s="250"/>
      <c r="AJ161" s="250"/>
      <c r="AK161" s="250"/>
      <c r="AL161" s="250"/>
      <c r="AM161" s="250"/>
      <c r="AN161" s="250"/>
      <c r="AO161" s="250"/>
      <c r="AP161" s="250"/>
      <c r="AQ161" s="250"/>
      <c r="AR161" s="250"/>
      <c r="AS161" s="73" t="s">
        <v>460</v>
      </c>
      <c r="AT161" s="73" t="s">
        <v>460</v>
      </c>
      <c r="AU161" s="701"/>
    </row>
    <row r="162" spans="1:53" s="1" customFormat="1" ht="114.75" customHeight="1" thickBot="1">
      <c r="A162" s="840"/>
      <c r="B162" s="669"/>
      <c r="C162" s="669"/>
      <c r="D162" s="669"/>
      <c r="E162" s="669"/>
      <c r="F162" s="669"/>
      <c r="G162" s="669"/>
      <c r="H162" s="669"/>
      <c r="I162" s="669"/>
      <c r="J162" s="670"/>
      <c r="K162" s="670"/>
      <c r="L162" s="674"/>
      <c r="M162" s="674"/>
      <c r="N162" s="139"/>
      <c r="O162" s="850"/>
      <c r="P162" s="551" t="s">
        <v>865</v>
      </c>
      <c r="Q162" s="551" t="s">
        <v>452</v>
      </c>
      <c r="R162" s="551">
        <v>1</v>
      </c>
      <c r="S162" s="551">
        <v>0</v>
      </c>
      <c r="T162" s="551">
        <v>1</v>
      </c>
      <c r="U162" s="551">
        <v>0</v>
      </c>
      <c r="V162" s="536">
        <v>0</v>
      </c>
      <c r="W162" s="730"/>
      <c r="X162" s="715"/>
      <c r="Y162" s="671"/>
      <c r="Z162" s="671"/>
      <c r="AA162" s="642"/>
      <c r="AB162" s="642"/>
      <c r="AC162" s="642"/>
      <c r="AD162" s="80"/>
      <c r="AE162" s="339"/>
      <c r="AF162" s="80"/>
      <c r="AG162" s="80"/>
      <c r="AH162" s="250"/>
      <c r="AI162" s="250"/>
      <c r="AJ162" s="250"/>
      <c r="AK162" s="250"/>
      <c r="AL162" s="250"/>
      <c r="AM162" s="250"/>
      <c r="AN162" s="250"/>
      <c r="AO162" s="250"/>
      <c r="AP162" s="250"/>
      <c r="AQ162" s="250"/>
      <c r="AR162" s="250"/>
      <c r="AS162" s="73" t="s">
        <v>460</v>
      </c>
      <c r="AT162" s="73" t="s">
        <v>460</v>
      </c>
      <c r="AU162" s="701"/>
    </row>
    <row r="163" spans="1:53" s="1" customFormat="1" ht="114.75" customHeight="1" thickBot="1">
      <c r="A163" s="840"/>
      <c r="B163" s="669"/>
      <c r="C163" s="669"/>
      <c r="D163" s="669"/>
      <c r="E163" s="669"/>
      <c r="F163" s="669"/>
      <c r="G163" s="669"/>
      <c r="H163" s="669"/>
      <c r="I163" s="669"/>
      <c r="J163" s="668" t="s">
        <v>271</v>
      </c>
      <c r="K163" s="668" t="s">
        <v>17</v>
      </c>
      <c r="L163" s="666" t="s">
        <v>51</v>
      </c>
      <c r="M163" s="666">
        <v>1</v>
      </c>
      <c r="N163" s="861"/>
      <c r="O163" s="666" t="s">
        <v>275</v>
      </c>
      <c r="P163" s="551" t="s">
        <v>866</v>
      </c>
      <c r="Q163" s="551" t="s">
        <v>17</v>
      </c>
      <c r="R163" s="551">
        <v>0.4</v>
      </c>
      <c r="S163" s="551">
        <v>0</v>
      </c>
      <c r="T163" s="551">
        <v>10</v>
      </c>
      <c r="U163" s="551">
        <v>10</v>
      </c>
      <c r="V163" s="536">
        <v>20</v>
      </c>
      <c r="W163" s="730"/>
      <c r="X163" s="715"/>
      <c r="Y163" s="671"/>
      <c r="Z163" s="671"/>
      <c r="AA163" s="642"/>
      <c r="AB163" s="642"/>
      <c r="AC163" s="642"/>
      <c r="AD163" s="80"/>
      <c r="AE163" s="339"/>
      <c r="AF163" s="80"/>
      <c r="AG163" s="80"/>
      <c r="AH163" s="250"/>
      <c r="AI163" s="250"/>
      <c r="AJ163" s="250"/>
      <c r="AK163" s="250"/>
      <c r="AL163" s="250"/>
      <c r="AM163" s="250"/>
      <c r="AN163" s="250"/>
      <c r="AO163" s="250"/>
      <c r="AP163" s="250"/>
      <c r="AQ163" s="250"/>
      <c r="AR163" s="250"/>
      <c r="AS163" s="73" t="s">
        <v>460</v>
      </c>
      <c r="AT163" s="73" t="s">
        <v>460</v>
      </c>
      <c r="AU163" s="701"/>
    </row>
    <row r="164" spans="1:53" s="1" customFormat="1" ht="114.75" customHeight="1" thickBot="1">
      <c r="A164" s="840"/>
      <c r="B164" s="669"/>
      <c r="C164" s="669"/>
      <c r="D164" s="669"/>
      <c r="E164" s="669"/>
      <c r="F164" s="669"/>
      <c r="G164" s="669"/>
      <c r="H164" s="669"/>
      <c r="I164" s="669"/>
      <c r="J164" s="669"/>
      <c r="K164" s="669"/>
      <c r="L164" s="667"/>
      <c r="M164" s="667"/>
      <c r="N164" s="862"/>
      <c r="O164" s="667"/>
      <c r="P164" s="551" t="s">
        <v>756</v>
      </c>
      <c r="Q164" s="551" t="s">
        <v>17</v>
      </c>
      <c r="R164" s="551">
        <v>1</v>
      </c>
      <c r="S164" s="551">
        <v>0</v>
      </c>
      <c r="T164" s="551">
        <v>0</v>
      </c>
      <c r="U164" s="551">
        <v>0</v>
      </c>
      <c r="V164" s="536">
        <v>1</v>
      </c>
      <c r="W164" s="730"/>
      <c r="X164" s="715"/>
      <c r="Y164" s="671"/>
      <c r="Z164" s="671"/>
      <c r="AA164" s="642"/>
      <c r="AB164" s="642"/>
      <c r="AC164" s="642"/>
      <c r="AD164" s="80"/>
      <c r="AE164" s="339"/>
      <c r="AF164" s="80"/>
      <c r="AG164" s="80"/>
      <c r="AH164" s="250"/>
      <c r="AI164" s="250"/>
      <c r="AJ164" s="250"/>
      <c r="AK164" s="250"/>
      <c r="AL164" s="250"/>
      <c r="AM164" s="250"/>
      <c r="AN164" s="250"/>
      <c r="AO164" s="250"/>
      <c r="AP164" s="250"/>
      <c r="AQ164" s="250"/>
      <c r="AR164" s="250"/>
      <c r="AS164" s="73" t="s">
        <v>460</v>
      </c>
      <c r="AT164" s="73" t="s">
        <v>460</v>
      </c>
      <c r="AU164" s="701"/>
    </row>
    <row r="165" spans="1:53" s="1" customFormat="1" ht="78" customHeight="1" thickBot="1">
      <c r="A165" s="840"/>
      <c r="B165" s="669"/>
      <c r="C165" s="669"/>
      <c r="D165" s="669"/>
      <c r="E165" s="669"/>
      <c r="F165" s="669"/>
      <c r="G165" s="669"/>
      <c r="H165" s="669"/>
      <c r="I165" s="669"/>
      <c r="J165" s="668" t="s">
        <v>272</v>
      </c>
      <c r="K165" s="668" t="s">
        <v>18</v>
      </c>
      <c r="L165" s="666">
        <v>100</v>
      </c>
      <c r="M165" s="666">
        <v>100</v>
      </c>
      <c r="N165" s="856"/>
      <c r="O165" s="668" t="s">
        <v>454</v>
      </c>
      <c r="P165" s="551" t="s">
        <v>757</v>
      </c>
      <c r="Q165" s="551" t="s">
        <v>17</v>
      </c>
      <c r="R165" s="551">
        <v>2</v>
      </c>
      <c r="S165" s="551">
        <v>1</v>
      </c>
      <c r="T165" s="551">
        <v>0</v>
      </c>
      <c r="U165" s="551">
        <v>1</v>
      </c>
      <c r="V165" s="536">
        <v>0</v>
      </c>
      <c r="W165" s="730"/>
      <c r="X165" s="715"/>
      <c r="Y165" s="671"/>
      <c r="Z165" s="671"/>
      <c r="AA165" s="655"/>
      <c r="AB165" s="508"/>
      <c r="AC165" s="508"/>
      <c r="AD165" s="80"/>
      <c r="AE165" s="339"/>
      <c r="AF165" s="80"/>
      <c r="AG165" s="80"/>
      <c r="AH165" s="250"/>
      <c r="AI165" s="250"/>
      <c r="AJ165" s="250"/>
      <c r="AK165" s="250"/>
      <c r="AL165" s="250"/>
      <c r="AM165" s="250"/>
      <c r="AN165" s="250"/>
      <c r="AO165" s="250"/>
      <c r="AP165" s="250"/>
      <c r="AQ165" s="250"/>
      <c r="AR165" s="250"/>
      <c r="AS165" s="73" t="s">
        <v>460</v>
      </c>
      <c r="AT165" s="73" t="s">
        <v>460</v>
      </c>
      <c r="AU165" s="701"/>
    </row>
    <row r="166" spans="1:53" s="1" customFormat="1" ht="52.5" customHeight="1" thickBot="1">
      <c r="A166" s="840"/>
      <c r="B166" s="669"/>
      <c r="C166" s="669"/>
      <c r="D166" s="669"/>
      <c r="E166" s="669"/>
      <c r="F166" s="669"/>
      <c r="G166" s="669"/>
      <c r="H166" s="669"/>
      <c r="I166" s="669"/>
      <c r="J166" s="669"/>
      <c r="K166" s="669"/>
      <c r="L166" s="667"/>
      <c r="M166" s="667"/>
      <c r="N166" s="856"/>
      <c r="O166" s="669"/>
      <c r="P166" s="551" t="s">
        <v>867</v>
      </c>
      <c r="Q166" s="551" t="s">
        <v>17</v>
      </c>
      <c r="R166" s="551">
        <v>2</v>
      </c>
      <c r="S166" s="551">
        <v>1</v>
      </c>
      <c r="T166" s="551">
        <v>0</v>
      </c>
      <c r="U166" s="551">
        <v>1</v>
      </c>
      <c r="V166" s="536">
        <v>0</v>
      </c>
      <c r="W166" s="730"/>
      <c r="X166" s="715"/>
      <c r="Y166" s="671"/>
      <c r="Z166" s="671"/>
      <c r="AA166" s="655"/>
      <c r="AB166" s="508"/>
      <c r="AC166" s="508"/>
      <c r="AD166" s="80"/>
      <c r="AE166" s="339"/>
      <c r="AF166" s="80"/>
      <c r="AG166" s="80"/>
      <c r="AH166" s="250"/>
      <c r="AI166" s="250"/>
      <c r="AJ166" s="250"/>
      <c r="AK166" s="250"/>
      <c r="AL166" s="250"/>
      <c r="AM166" s="250"/>
      <c r="AN166" s="250"/>
      <c r="AO166" s="250"/>
      <c r="AP166" s="250"/>
      <c r="AQ166" s="250"/>
      <c r="AR166" s="250"/>
      <c r="AS166" s="73" t="s">
        <v>460</v>
      </c>
      <c r="AT166" s="73" t="s">
        <v>460</v>
      </c>
      <c r="AU166" s="701"/>
    </row>
    <row r="167" spans="1:53" s="1" customFormat="1" ht="52.5" customHeight="1" thickBot="1">
      <c r="A167" s="840"/>
      <c r="B167" s="669"/>
      <c r="C167" s="669"/>
      <c r="D167" s="669"/>
      <c r="E167" s="669"/>
      <c r="F167" s="669"/>
      <c r="G167" s="669"/>
      <c r="H167" s="669"/>
      <c r="I167" s="669"/>
      <c r="J167" s="669"/>
      <c r="K167" s="669"/>
      <c r="L167" s="667"/>
      <c r="M167" s="667"/>
      <c r="N167" s="856"/>
      <c r="O167" s="669"/>
      <c r="P167" s="551" t="s">
        <v>376</v>
      </c>
      <c r="Q167" s="551" t="s">
        <v>17</v>
      </c>
      <c r="R167" s="551">
        <v>1</v>
      </c>
      <c r="S167" s="551">
        <v>0</v>
      </c>
      <c r="T167" s="551">
        <v>0</v>
      </c>
      <c r="U167" s="551">
        <v>1</v>
      </c>
      <c r="V167" s="536">
        <v>0</v>
      </c>
      <c r="W167" s="730"/>
      <c r="X167" s="715"/>
      <c r="Y167" s="671"/>
      <c r="Z167" s="671"/>
      <c r="AA167" s="655"/>
      <c r="AB167" s="508"/>
      <c r="AC167" s="508"/>
      <c r="AD167" s="80"/>
      <c r="AE167" s="339"/>
      <c r="AF167" s="80"/>
      <c r="AG167" s="80"/>
      <c r="AH167" s="250"/>
      <c r="AI167" s="250"/>
      <c r="AJ167" s="250"/>
      <c r="AK167" s="250"/>
      <c r="AL167" s="250"/>
      <c r="AM167" s="250"/>
      <c r="AN167" s="250"/>
      <c r="AO167" s="250"/>
      <c r="AP167" s="250"/>
      <c r="AQ167" s="250"/>
      <c r="AR167" s="250"/>
      <c r="AS167" s="73" t="s">
        <v>460</v>
      </c>
      <c r="AT167" s="73" t="s">
        <v>460</v>
      </c>
      <c r="AU167" s="701"/>
    </row>
    <row r="168" spans="1:53" s="1" customFormat="1" ht="52.5" customHeight="1" thickBot="1">
      <c r="A168" s="840"/>
      <c r="B168" s="669"/>
      <c r="C168" s="669"/>
      <c r="D168" s="669"/>
      <c r="E168" s="669"/>
      <c r="F168" s="669"/>
      <c r="G168" s="669"/>
      <c r="H168" s="669"/>
      <c r="I168" s="669"/>
      <c r="J168" s="669"/>
      <c r="K168" s="669"/>
      <c r="L168" s="667"/>
      <c r="M168" s="667"/>
      <c r="N168" s="856"/>
      <c r="O168" s="669"/>
      <c r="P168" s="551" t="s">
        <v>375</v>
      </c>
      <c r="Q168" s="551" t="s">
        <v>17</v>
      </c>
      <c r="R168" s="551">
        <v>2</v>
      </c>
      <c r="S168" s="551">
        <v>0</v>
      </c>
      <c r="T168" s="551">
        <v>1</v>
      </c>
      <c r="U168" s="551">
        <v>0</v>
      </c>
      <c r="V168" s="536">
        <v>1</v>
      </c>
      <c r="W168" s="730"/>
      <c r="X168" s="715"/>
      <c r="Y168" s="671"/>
      <c r="Z168" s="671"/>
      <c r="AA168" s="655"/>
      <c r="AB168" s="508"/>
      <c r="AC168" s="508"/>
      <c r="AD168" s="80"/>
      <c r="AE168" s="339"/>
      <c r="AF168" s="80"/>
      <c r="AG168" s="80"/>
      <c r="AH168" s="250"/>
      <c r="AI168" s="250"/>
      <c r="AJ168" s="250"/>
      <c r="AK168" s="250"/>
      <c r="AL168" s="250"/>
      <c r="AM168" s="250"/>
      <c r="AN168" s="250"/>
      <c r="AO168" s="250"/>
      <c r="AP168" s="250"/>
      <c r="AQ168" s="250"/>
      <c r="AR168" s="250"/>
      <c r="AS168" s="73" t="s">
        <v>460</v>
      </c>
      <c r="AT168" s="73" t="s">
        <v>460</v>
      </c>
      <c r="AU168" s="701"/>
    </row>
    <row r="169" spans="1:53" s="1" customFormat="1" ht="97.5" customHeight="1" thickBot="1">
      <c r="A169" s="840"/>
      <c r="B169" s="669"/>
      <c r="C169" s="669"/>
      <c r="D169" s="669"/>
      <c r="E169" s="669"/>
      <c r="F169" s="669"/>
      <c r="G169" s="669"/>
      <c r="H169" s="669"/>
      <c r="I169" s="669"/>
      <c r="J169" s="669"/>
      <c r="K169" s="669"/>
      <c r="L169" s="667"/>
      <c r="M169" s="667"/>
      <c r="N169" s="856"/>
      <c r="O169" s="697"/>
      <c r="P169" s="551" t="s">
        <v>456</v>
      </c>
      <c r="Q169" s="551" t="s">
        <v>17</v>
      </c>
      <c r="R169" s="551">
        <v>1</v>
      </c>
      <c r="S169" s="551">
        <v>1</v>
      </c>
      <c r="T169" s="551">
        <v>0</v>
      </c>
      <c r="U169" s="551">
        <v>0</v>
      </c>
      <c r="V169" s="536">
        <v>0</v>
      </c>
      <c r="W169" s="730"/>
      <c r="X169" s="715"/>
      <c r="Y169" s="671"/>
      <c r="Z169" s="671"/>
      <c r="AA169" s="507"/>
      <c r="AB169" s="508"/>
      <c r="AC169" s="508"/>
      <c r="AD169" s="80"/>
      <c r="AE169" s="339"/>
      <c r="AF169" s="80"/>
      <c r="AG169" s="80"/>
      <c r="AH169" s="250"/>
      <c r="AI169" s="250"/>
      <c r="AJ169" s="250"/>
      <c r="AK169" s="250"/>
      <c r="AL169" s="250"/>
      <c r="AM169" s="250"/>
      <c r="AN169" s="250"/>
      <c r="AO169" s="250"/>
      <c r="AP169" s="250"/>
      <c r="AQ169" s="250"/>
      <c r="AR169" s="250"/>
      <c r="AS169" s="73" t="s">
        <v>460</v>
      </c>
      <c r="AT169" s="73" t="s">
        <v>460</v>
      </c>
      <c r="AU169" s="701"/>
    </row>
    <row r="170" spans="1:53" s="1" customFormat="1" ht="97.5" customHeight="1" thickBot="1">
      <c r="A170" s="840"/>
      <c r="B170" s="669"/>
      <c r="C170" s="669"/>
      <c r="D170" s="669"/>
      <c r="E170" s="669"/>
      <c r="F170" s="669"/>
      <c r="G170" s="669"/>
      <c r="H170" s="669"/>
      <c r="I170" s="669"/>
      <c r="J170" s="669"/>
      <c r="K170" s="669"/>
      <c r="L170" s="667"/>
      <c r="M170" s="667"/>
      <c r="N170" s="190"/>
      <c r="O170" s="695" t="s">
        <v>455</v>
      </c>
      <c r="P170" s="551" t="s">
        <v>758</v>
      </c>
      <c r="Q170" s="551" t="s">
        <v>17</v>
      </c>
      <c r="R170" s="551">
        <v>2</v>
      </c>
      <c r="S170" s="551">
        <v>0</v>
      </c>
      <c r="T170" s="551">
        <v>1</v>
      </c>
      <c r="U170" s="551">
        <v>0</v>
      </c>
      <c r="V170" s="536">
        <v>1</v>
      </c>
      <c r="W170" s="730"/>
      <c r="X170" s="715"/>
      <c r="Y170" s="671"/>
      <c r="Z170" s="671"/>
      <c r="AA170" s="655"/>
      <c r="AB170" s="508"/>
      <c r="AC170" s="508"/>
      <c r="AD170" s="80"/>
      <c r="AE170" s="339"/>
      <c r="AF170" s="80"/>
      <c r="AG170" s="80"/>
      <c r="AH170" s="250"/>
      <c r="AI170" s="250"/>
      <c r="AJ170" s="250"/>
      <c r="AK170" s="250"/>
      <c r="AL170" s="250"/>
      <c r="AM170" s="250"/>
      <c r="AN170" s="250"/>
      <c r="AO170" s="250"/>
      <c r="AP170" s="250"/>
      <c r="AQ170" s="250"/>
      <c r="AR170" s="250"/>
      <c r="AS170" s="73" t="s">
        <v>460</v>
      </c>
      <c r="AT170" s="73" t="s">
        <v>460</v>
      </c>
      <c r="AU170" s="701"/>
    </row>
    <row r="171" spans="1:53" s="1" customFormat="1" ht="97.5" customHeight="1" thickBot="1">
      <c r="A171" s="840"/>
      <c r="B171" s="669"/>
      <c r="C171" s="669"/>
      <c r="D171" s="669"/>
      <c r="E171" s="669"/>
      <c r="F171" s="669"/>
      <c r="G171" s="669"/>
      <c r="H171" s="669"/>
      <c r="I171" s="669"/>
      <c r="J171" s="669"/>
      <c r="K171" s="669"/>
      <c r="L171" s="667"/>
      <c r="M171" s="667"/>
      <c r="N171" s="190"/>
      <c r="O171" s="669"/>
      <c r="P171" s="551" t="s">
        <v>868</v>
      </c>
      <c r="Q171" s="551" t="s">
        <v>452</v>
      </c>
      <c r="R171" s="551">
        <v>2</v>
      </c>
      <c r="S171" s="551">
        <v>0</v>
      </c>
      <c r="T171" s="551">
        <v>1</v>
      </c>
      <c r="U171" s="551">
        <v>0</v>
      </c>
      <c r="V171" s="536">
        <v>1</v>
      </c>
      <c r="W171" s="731"/>
      <c r="X171" s="726"/>
      <c r="Y171" s="727"/>
      <c r="Z171" s="727"/>
      <c r="AA171" s="655"/>
      <c r="AB171" s="508"/>
      <c r="AC171" s="508"/>
      <c r="AD171" s="80"/>
      <c r="AE171" s="339"/>
      <c r="AF171" s="80"/>
      <c r="AG171" s="80"/>
      <c r="AH171" s="250"/>
      <c r="AI171" s="250"/>
      <c r="AJ171" s="250"/>
      <c r="AK171" s="250"/>
      <c r="AL171" s="250"/>
      <c r="AM171" s="250"/>
      <c r="AN171" s="250"/>
      <c r="AO171" s="250"/>
      <c r="AP171" s="250"/>
      <c r="AQ171" s="250"/>
      <c r="AR171" s="250"/>
      <c r="AS171" s="73" t="s">
        <v>460</v>
      </c>
      <c r="AT171" s="73" t="s">
        <v>460</v>
      </c>
      <c r="AU171" s="701"/>
    </row>
    <row r="172" spans="1:53" s="1" customFormat="1" ht="152.25" customHeight="1" thickBot="1">
      <c r="A172" s="739" t="s">
        <v>276</v>
      </c>
      <c r="B172" s="736" t="s">
        <v>309</v>
      </c>
      <c r="C172" s="739" t="s">
        <v>321</v>
      </c>
      <c r="D172" s="736" t="s">
        <v>277</v>
      </c>
      <c r="E172" s="140" t="s">
        <v>283</v>
      </c>
      <c r="F172" s="140" t="s">
        <v>18</v>
      </c>
      <c r="G172" s="140" t="s">
        <v>51</v>
      </c>
      <c r="H172" s="140">
        <v>90</v>
      </c>
      <c r="I172" s="736" t="s">
        <v>282</v>
      </c>
      <c r="J172" s="141" t="s">
        <v>285</v>
      </c>
      <c r="K172" s="141" t="s">
        <v>18</v>
      </c>
      <c r="L172" s="142">
        <v>50</v>
      </c>
      <c r="M172" s="142">
        <v>100</v>
      </c>
      <c r="N172" s="143"/>
      <c r="O172" s="142" t="s">
        <v>287</v>
      </c>
      <c r="P172" s="551" t="s">
        <v>869</v>
      </c>
      <c r="Q172" s="551" t="s">
        <v>17</v>
      </c>
      <c r="R172" s="551">
        <v>24</v>
      </c>
      <c r="S172" s="551">
        <v>6</v>
      </c>
      <c r="T172" s="551">
        <v>6</v>
      </c>
      <c r="U172" s="551">
        <v>6</v>
      </c>
      <c r="V172" s="533">
        <v>6</v>
      </c>
      <c r="W172" s="724"/>
      <c r="X172" s="725"/>
      <c r="Y172" s="717">
        <f>305209126+174400000+94905072+121945507+46080963+46081013+1484042364</f>
        <v>2272664045</v>
      </c>
      <c r="Z172" s="717">
        <f>+Y172</f>
        <v>2272664045</v>
      </c>
      <c r="AA172" s="655"/>
      <c r="AB172" s="507"/>
      <c r="AC172" s="507"/>
      <c r="AD172" s="80"/>
      <c r="AE172" s="159"/>
      <c r="AF172" s="159"/>
      <c r="AG172" s="159"/>
      <c r="AH172" s="152"/>
      <c r="AI172" s="152"/>
      <c r="AJ172" s="152"/>
      <c r="AK172" s="152"/>
      <c r="AL172" s="152"/>
      <c r="AM172" s="152"/>
      <c r="AN172" s="152"/>
      <c r="AO172" s="152"/>
      <c r="AP172" s="152"/>
      <c r="AQ172" s="152"/>
      <c r="AR172" s="152"/>
      <c r="AS172" s="140" t="s">
        <v>432</v>
      </c>
      <c r="AT172" s="140" t="s">
        <v>432</v>
      </c>
      <c r="AU172" s="700" t="s">
        <v>340</v>
      </c>
      <c r="AX172" s="1">
        <v>222558546.06720001</v>
      </c>
      <c r="AY172" s="1">
        <v>135287790</v>
      </c>
      <c r="AZ172" s="1">
        <f>+AX172+AY172</f>
        <v>357846336.06720001</v>
      </c>
      <c r="BA172" s="1">
        <f>+AZ172/10</f>
        <v>35784633.606720001</v>
      </c>
    </row>
    <row r="173" spans="1:53" s="1" customFormat="1" ht="117" customHeight="1" thickBot="1">
      <c r="A173" s="744"/>
      <c r="B173" s="737"/>
      <c r="C173" s="740"/>
      <c r="D173" s="742"/>
      <c r="E173" s="146" t="s">
        <v>284</v>
      </c>
      <c r="F173" s="146" t="s">
        <v>18</v>
      </c>
      <c r="G173" s="146" t="s">
        <v>51</v>
      </c>
      <c r="H173" s="146">
        <v>86</v>
      </c>
      <c r="I173" s="742"/>
      <c r="J173" s="147" t="s">
        <v>286</v>
      </c>
      <c r="K173" s="147" t="s">
        <v>18</v>
      </c>
      <c r="L173" s="148">
        <v>50</v>
      </c>
      <c r="M173" s="148">
        <v>100</v>
      </c>
      <c r="N173" s="149"/>
      <c r="O173" s="148" t="s">
        <v>288</v>
      </c>
      <c r="P173" s="551" t="s">
        <v>759</v>
      </c>
      <c r="Q173" s="551" t="s">
        <v>436</v>
      </c>
      <c r="R173" s="551">
        <v>1</v>
      </c>
      <c r="S173" s="551">
        <v>0</v>
      </c>
      <c r="T173" s="551">
        <v>0</v>
      </c>
      <c r="U173" s="551">
        <v>1</v>
      </c>
      <c r="V173" s="533">
        <v>0</v>
      </c>
      <c r="W173" s="713"/>
      <c r="X173" s="715"/>
      <c r="Y173" s="671"/>
      <c r="Z173" s="671"/>
      <c r="AA173" s="655"/>
      <c r="AB173" s="507"/>
      <c r="AC173" s="507"/>
      <c r="AD173" s="80"/>
      <c r="AE173" s="159"/>
      <c r="AF173" s="159"/>
      <c r="AG173" s="159"/>
      <c r="AH173" s="152"/>
      <c r="AI173" s="152"/>
      <c r="AJ173" s="152"/>
      <c r="AK173" s="152"/>
      <c r="AL173" s="152"/>
      <c r="AM173" s="152"/>
      <c r="AN173" s="152"/>
      <c r="AO173" s="152"/>
      <c r="AP173" s="152"/>
      <c r="AQ173" s="152"/>
      <c r="AR173" s="152"/>
      <c r="AS173" s="140" t="s">
        <v>432</v>
      </c>
      <c r="AT173" s="140" t="s">
        <v>432</v>
      </c>
      <c r="AU173" s="701"/>
      <c r="BA173" s="1">
        <v>35784633.606720001</v>
      </c>
    </row>
    <row r="174" spans="1:53" s="1" customFormat="1" ht="111.75" customHeight="1" thickBot="1">
      <c r="A174" s="744"/>
      <c r="B174" s="737"/>
      <c r="C174" s="743" t="s">
        <v>278</v>
      </c>
      <c r="D174" s="741" t="s">
        <v>279</v>
      </c>
      <c r="E174" s="153" t="s">
        <v>322</v>
      </c>
      <c r="F174" s="146" t="s">
        <v>18</v>
      </c>
      <c r="G174" s="146" t="s">
        <v>51</v>
      </c>
      <c r="H174" s="153">
        <v>80</v>
      </c>
      <c r="I174" s="741" t="s">
        <v>290</v>
      </c>
      <c r="J174" s="147" t="s">
        <v>291</v>
      </c>
      <c r="K174" s="154" t="s">
        <v>18</v>
      </c>
      <c r="L174" s="155">
        <v>60</v>
      </c>
      <c r="M174" s="155">
        <v>85</v>
      </c>
      <c r="N174" s="156"/>
      <c r="O174" s="146" t="s">
        <v>300</v>
      </c>
      <c r="P174" s="551" t="s">
        <v>870</v>
      </c>
      <c r="Q174" s="551" t="s">
        <v>18</v>
      </c>
      <c r="R174" s="551">
        <v>1</v>
      </c>
      <c r="S174" s="551">
        <v>0</v>
      </c>
      <c r="T174" s="551">
        <v>0</v>
      </c>
      <c r="U174" s="551">
        <v>0</v>
      </c>
      <c r="V174" s="533">
        <v>1</v>
      </c>
      <c r="W174" s="713"/>
      <c r="X174" s="715"/>
      <c r="Y174" s="671"/>
      <c r="Z174" s="671"/>
      <c r="AA174" s="507"/>
      <c r="AB174" s="658"/>
      <c r="AC174" s="658"/>
      <c r="AD174" s="80"/>
      <c r="AE174" s="159"/>
      <c r="AF174" s="159"/>
      <c r="AG174" s="159"/>
      <c r="AH174" s="152"/>
      <c r="AI174" s="152"/>
      <c r="AJ174" s="152"/>
      <c r="AK174" s="152"/>
      <c r="AL174" s="152"/>
      <c r="AM174" s="152"/>
      <c r="AN174" s="152"/>
      <c r="AO174" s="152"/>
      <c r="AP174" s="152"/>
      <c r="AQ174" s="152"/>
      <c r="AR174" s="152"/>
      <c r="AS174" s="140" t="s">
        <v>432</v>
      </c>
      <c r="AT174" s="140" t="s">
        <v>432</v>
      </c>
      <c r="AU174" s="701"/>
    </row>
    <row r="175" spans="1:53" s="1" customFormat="1" ht="93" customHeight="1" thickBot="1">
      <c r="A175" s="744"/>
      <c r="B175" s="737"/>
      <c r="C175" s="744"/>
      <c r="D175" s="737"/>
      <c r="E175" s="153" t="s">
        <v>289</v>
      </c>
      <c r="F175" s="146" t="s">
        <v>18</v>
      </c>
      <c r="G175" s="146">
        <v>75</v>
      </c>
      <c r="H175" s="153">
        <v>80</v>
      </c>
      <c r="I175" s="737"/>
      <c r="J175" s="154" t="s">
        <v>292</v>
      </c>
      <c r="K175" s="154" t="s">
        <v>259</v>
      </c>
      <c r="L175" s="155">
        <v>1</v>
      </c>
      <c r="M175" s="155">
        <v>1</v>
      </c>
      <c r="N175" s="156"/>
      <c r="O175" s="155" t="s">
        <v>302</v>
      </c>
      <c r="P175" s="551" t="s">
        <v>760</v>
      </c>
      <c r="Q175" s="551" t="s">
        <v>17</v>
      </c>
      <c r="R175" s="551">
        <v>1</v>
      </c>
      <c r="S175" s="551">
        <v>0</v>
      </c>
      <c r="T175" s="551">
        <v>0</v>
      </c>
      <c r="U175" s="551">
        <v>0</v>
      </c>
      <c r="V175" s="533">
        <v>1</v>
      </c>
      <c r="W175" s="713"/>
      <c r="X175" s="715"/>
      <c r="Y175" s="671"/>
      <c r="Z175" s="671"/>
      <c r="AA175" s="655"/>
      <c r="AB175" s="655"/>
      <c r="AC175" s="655"/>
      <c r="AD175" s="80"/>
      <c r="AE175" s="159"/>
      <c r="AF175" s="159"/>
      <c r="AG175" s="159"/>
      <c r="AH175" s="152"/>
      <c r="AI175" s="152"/>
      <c r="AJ175" s="152"/>
      <c r="AK175" s="152"/>
      <c r="AL175" s="152"/>
      <c r="AM175" s="152"/>
      <c r="AN175" s="152"/>
      <c r="AO175" s="152"/>
      <c r="AP175" s="152"/>
      <c r="AQ175" s="152"/>
      <c r="AR175" s="152"/>
      <c r="AS175" s="140" t="s">
        <v>432</v>
      </c>
      <c r="AT175" s="140" t="s">
        <v>432</v>
      </c>
      <c r="AU175" s="701"/>
    </row>
    <row r="176" spans="1:53" s="1" customFormat="1" ht="120.75" customHeight="1" thickBot="1">
      <c r="A176" s="744"/>
      <c r="B176" s="737"/>
      <c r="C176" s="744"/>
      <c r="D176" s="737"/>
      <c r="E176" s="741" t="s">
        <v>323</v>
      </c>
      <c r="F176" s="741" t="s">
        <v>18</v>
      </c>
      <c r="G176" s="741">
        <v>75</v>
      </c>
      <c r="H176" s="741">
        <v>80</v>
      </c>
      <c r="I176" s="737"/>
      <c r="J176" s="154" t="s">
        <v>293</v>
      </c>
      <c r="K176" s="154" t="s">
        <v>18</v>
      </c>
      <c r="L176" s="155" t="s">
        <v>51</v>
      </c>
      <c r="M176" s="155">
        <v>95</v>
      </c>
      <c r="N176" s="156"/>
      <c r="O176" s="765" t="s">
        <v>301</v>
      </c>
      <c r="P176" s="551" t="s">
        <v>761</v>
      </c>
      <c r="Q176" s="551" t="s">
        <v>17</v>
      </c>
      <c r="R176" s="551">
        <v>12</v>
      </c>
      <c r="S176" s="551">
        <v>3</v>
      </c>
      <c r="T176" s="551">
        <v>3</v>
      </c>
      <c r="U176" s="551">
        <v>3</v>
      </c>
      <c r="V176" s="533">
        <v>3</v>
      </c>
      <c r="W176" s="713"/>
      <c r="X176" s="715"/>
      <c r="Y176" s="671"/>
      <c r="Z176" s="671"/>
      <c r="AA176" s="507"/>
      <c r="AB176" s="658"/>
      <c r="AC176" s="658"/>
      <c r="AD176" s="80"/>
      <c r="AE176" s="159"/>
      <c r="AF176" s="159"/>
      <c r="AG176" s="159"/>
      <c r="AH176" s="152"/>
      <c r="AI176" s="152"/>
      <c r="AJ176" s="152"/>
      <c r="AK176" s="152"/>
      <c r="AL176" s="152"/>
      <c r="AM176" s="152"/>
      <c r="AN176" s="152"/>
      <c r="AO176" s="152"/>
      <c r="AP176" s="152"/>
      <c r="AQ176" s="152"/>
      <c r="AR176" s="152"/>
      <c r="AS176" s="140" t="s">
        <v>432</v>
      </c>
      <c r="AT176" s="140" t="s">
        <v>432</v>
      </c>
      <c r="AU176" s="701"/>
    </row>
    <row r="177" spans="1:47" s="1" customFormat="1" ht="93" customHeight="1" thickBot="1">
      <c r="A177" s="744"/>
      <c r="B177" s="737"/>
      <c r="C177" s="744"/>
      <c r="D177" s="737"/>
      <c r="E177" s="737"/>
      <c r="F177" s="737"/>
      <c r="G177" s="737"/>
      <c r="H177" s="737"/>
      <c r="I177" s="737"/>
      <c r="J177" s="154" t="s">
        <v>294</v>
      </c>
      <c r="K177" s="154" t="s">
        <v>18</v>
      </c>
      <c r="L177" s="155" t="s">
        <v>51</v>
      </c>
      <c r="M177" s="155">
        <v>90</v>
      </c>
      <c r="N177" s="156"/>
      <c r="O177" s="766"/>
      <c r="P177" s="551" t="s">
        <v>762</v>
      </c>
      <c r="Q177" s="551" t="s">
        <v>17</v>
      </c>
      <c r="R177" s="551">
        <v>46</v>
      </c>
      <c r="S177" s="551">
        <v>11</v>
      </c>
      <c r="T177" s="551">
        <v>21</v>
      </c>
      <c r="U177" s="551">
        <v>10</v>
      </c>
      <c r="V177" s="533">
        <v>4</v>
      </c>
      <c r="W177" s="713"/>
      <c r="X177" s="715"/>
      <c r="Y177" s="671"/>
      <c r="Z177" s="671"/>
      <c r="AA177" s="507"/>
      <c r="AB177" s="658"/>
      <c r="AC177" s="658"/>
      <c r="AD177" s="80"/>
      <c r="AE177" s="159"/>
      <c r="AF177" s="159"/>
      <c r="AG177" s="159"/>
      <c r="AH177" s="152"/>
      <c r="AI177" s="152"/>
      <c r="AJ177" s="152"/>
      <c r="AK177" s="152"/>
      <c r="AL177" s="152"/>
      <c r="AM177" s="152"/>
      <c r="AN177" s="152"/>
      <c r="AO177" s="152"/>
      <c r="AP177" s="152"/>
      <c r="AQ177" s="152"/>
      <c r="AR177" s="152"/>
      <c r="AS177" s="140" t="s">
        <v>432</v>
      </c>
      <c r="AT177" s="140" t="s">
        <v>432</v>
      </c>
      <c r="AU177" s="701"/>
    </row>
    <row r="178" spans="1:47" s="1" customFormat="1" ht="93" customHeight="1" thickBot="1">
      <c r="A178" s="744"/>
      <c r="B178" s="737"/>
      <c r="C178" s="744"/>
      <c r="D178" s="737"/>
      <c r="E178" s="737"/>
      <c r="F178" s="737"/>
      <c r="G178" s="737"/>
      <c r="H178" s="737"/>
      <c r="I178" s="737"/>
      <c r="J178" s="154" t="s">
        <v>295</v>
      </c>
      <c r="K178" s="154" t="s">
        <v>18</v>
      </c>
      <c r="L178" s="155" t="s">
        <v>51</v>
      </c>
      <c r="M178" s="155">
        <v>90</v>
      </c>
      <c r="N178" s="156"/>
      <c r="O178" s="766"/>
      <c r="P178" s="551" t="s">
        <v>763</v>
      </c>
      <c r="Q178" s="551" t="s">
        <v>17</v>
      </c>
      <c r="R178" s="551">
        <v>12</v>
      </c>
      <c r="S178" s="551">
        <v>3</v>
      </c>
      <c r="T178" s="551">
        <v>3</v>
      </c>
      <c r="U178" s="551">
        <v>3</v>
      </c>
      <c r="V178" s="533">
        <v>3</v>
      </c>
      <c r="W178" s="713"/>
      <c r="X178" s="715"/>
      <c r="Y178" s="671"/>
      <c r="Z178" s="671"/>
      <c r="AA178" s="507"/>
      <c r="AB178" s="658"/>
      <c r="AC178" s="658"/>
      <c r="AD178" s="80"/>
      <c r="AE178" s="159"/>
      <c r="AF178" s="159"/>
      <c r="AG178" s="159"/>
      <c r="AH178" s="152"/>
      <c r="AI178" s="152"/>
      <c r="AJ178" s="152"/>
      <c r="AK178" s="152"/>
      <c r="AL178" s="152"/>
      <c r="AM178" s="152"/>
      <c r="AN178" s="152"/>
      <c r="AO178" s="152"/>
      <c r="AP178" s="152"/>
      <c r="AQ178" s="152"/>
      <c r="AR178" s="152"/>
      <c r="AS178" s="140" t="s">
        <v>432</v>
      </c>
      <c r="AT178" s="140" t="s">
        <v>432</v>
      </c>
      <c r="AU178" s="701"/>
    </row>
    <row r="179" spans="1:47" s="1" customFormat="1" ht="93" customHeight="1" thickBot="1">
      <c r="A179" s="744"/>
      <c r="B179" s="737"/>
      <c r="C179" s="744"/>
      <c r="D179" s="737"/>
      <c r="E179" s="737"/>
      <c r="F179" s="737"/>
      <c r="G179" s="737"/>
      <c r="H179" s="737"/>
      <c r="I179" s="737"/>
      <c r="J179" s="154" t="s">
        <v>296</v>
      </c>
      <c r="K179" s="154" t="s">
        <v>18</v>
      </c>
      <c r="L179" s="155" t="s">
        <v>51</v>
      </c>
      <c r="M179" s="155">
        <v>90</v>
      </c>
      <c r="N179" s="156"/>
      <c r="O179" s="766"/>
      <c r="P179" s="551" t="s">
        <v>871</v>
      </c>
      <c r="Q179" s="551" t="s">
        <v>18</v>
      </c>
      <c r="R179" s="551">
        <v>1</v>
      </c>
      <c r="S179" s="551">
        <v>0</v>
      </c>
      <c r="T179" s="551">
        <v>0</v>
      </c>
      <c r="U179" s="551">
        <v>0</v>
      </c>
      <c r="V179" s="533">
        <v>1</v>
      </c>
      <c r="W179" s="713"/>
      <c r="X179" s="715"/>
      <c r="Y179" s="671"/>
      <c r="Z179" s="671"/>
      <c r="AA179" s="507"/>
      <c r="AB179" s="658"/>
      <c r="AC179" s="658"/>
      <c r="AD179" s="80"/>
      <c r="AE179" s="159"/>
      <c r="AF179" s="159"/>
      <c r="AG179" s="159"/>
      <c r="AH179" s="152"/>
      <c r="AI179" s="152"/>
      <c r="AJ179" s="152"/>
      <c r="AK179" s="152"/>
      <c r="AL179" s="152"/>
      <c r="AM179" s="152"/>
      <c r="AN179" s="152"/>
      <c r="AO179" s="152"/>
      <c r="AP179" s="152"/>
      <c r="AQ179" s="152"/>
      <c r="AR179" s="152"/>
      <c r="AS179" s="140" t="s">
        <v>432</v>
      </c>
      <c r="AT179" s="140" t="s">
        <v>432</v>
      </c>
      <c r="AU179" s="701"/>
    </row>
    <row r="180" spans="1:47" s="1" customFormat="1" ht="136.5" customHeight="1" thickBot="1">
      <c r="A180" s="744"/>
      <c r="B180" s="737"/>
      <c r="C180" s="744"/>
      <c r="D180" s="737"/>
      <c r="E180" s="737"/>
      <c r="F180" s="737"/>
      <c r="G180" s="737"/>
      <c r="H180" s="737"/>
      <c r="I180" s="737"/>
      <c r="J180" s="154" t="s">
        <v>297</v>
      </c>
      <c r="K180" s="154" t="s">
        <v>18</v>
      </c>
      <c r="L180" s="155" t="s">
        <v>51</v>
      </c>
      <c r="M180" s="155">
        <v>90</v>
      </c>
      <c r="N180" s="156"/>
      <c r="O180" s="766"/>
      <c r="P180" s="551" t="s">
        <v>761</v>
      </c>
      <c r="Q180" s="551" t="s">
        <v>17</v>
      </c>
      <c r="R180" s="551">
        <v>95</v>
      </c>
      <c r="S180" s="551"/>
      <c r="T180" s="551"/>
      <c r="U180" s="551"/>
      <c r="V180" s="533"/>
      <c r="W180" s="713"/>
      <c r="X180" s="715"/>
      <c r="Y180" s="671"/>
      <c r="Z180" s="671"/>
      <c r="AA180" s="507"/>
      <c r="AB180" s="658"/>
      <c r="AC180" s="658"/>
      <c r="AD180" s="80"/>
      <c r="AE180" s="159"/>
      <c r="AF180" s="159"/>
      <c r="AG180" s="159"/>
      <c r="AH180" s="152"/>
      <c r="AI180" s="152"/>
      <c r="AJ180" s="152"/>
      <c r="AK180" s="152"/>
      <c r="AL180" s="152"/>
      <c r="AM180" s="152"/>
      <c r="AN180" s="152"/>
      <c r="AO180" s="152"/>
      <c r="AP180" s="152"/>
      <c r="AQ180" s="152"/>
      <c r="AR180" s="152"/>
      <c r="AS180" s="140" t="s">
        <v>432</v>
      </c>
      <c r="AT180" s="140" t="s">
        <v>432</v>
      </c>
      <c r="AU180" s="701"/>
    </row>
    <row r="181" spans="1:47" s="1" customFormat="1" ht="123" customHeight="1" thickBot="1">
      <c r="A181" s="744"/>
      <c r="B181" s="737"/>
      <c r="C181" s="744"/>
      <c r="D181" s="737"/>
      <c r="E181" s="737"/>
      <c r="F181" s="737"/>
      <c r="G181" s="737"/>
      <c r="H181" s="737"/>
      <c r="I181" s="737"/>
      <c r="J181" s="154" t="s">
        <v>298</v>
      </c>
      <c r="K181" s="154" t="s">
        <v>18</v>
      </c>
      <c r="L181" s="155" t="s">
        <v>51</v>
      </c>
      <c r="M181" s="155">
        <v>90</v>
      </c>
      <c r="N181" s="156"/>
      <c r="O181" s="766"/>
      <c r="P181" s="551" t="s">
        <v>761</v>
      </c>
      <c r="Q181" s="551" t="s">
        <v>17</v>
      </c>
      <c r="R181" s="551">
        <v>95</v>
      </c>
      <c r="S181" s="551"/>
      <c r="T181" s="551"/>
      <c r="U181" s="551"/>
      <c r="V181" s="533"/>
      <c r="W181" s="713"/>
      <c r="X181" s="715"/>
      <c r="Y181" s="671"/>
      <c r="Z181" s="671"/>
      <c r="AA181" s="507"/>
      <c r="AB181" s="658"/>
      <c r="AC181" s="658"/>
      <c r="AD181" s="80"/>
      <c r="AE181" s="159"/>
      <c r="AF181" s="159"/>
      <c r="AG181" s="159"/>
      <c r="AH181" s="152"/>
      <c r="AI181" s="152"/>
      <c r="AJ181" s="152"/>
      <c r="AK181" s="152"/>
      <c r="AL181" s="152"/>
      <c r="AM181" s="152"/>
      <c r="AN181" s="152"/>
      <c r="AO181" s="152"/>
      <c r="AP181" s="152"/>
      <c r="AQ181" s="152"/>
      <c r="AR181" s="152"/>
      <c r="AS181" s="140" t="s">
        <v>432</v>
      </c>
      <c r="AT181" s="140" t="s">
        <v>432</v>
      </c>
      <c r="AU181" s="701"/>
    </row>
    <row r="182" spans="1:47" s="1" customFormat="1" ht="129.75" customHeight="1" thickBot="1">
      <c r="A182" s="744"/>
      <c r="B182" s="737"/>
      <c r="C182" s="740"/>
      <c r="D182" s="742"/>
      <c r="E182" s="742"/>
      <c r="F182" s="742"/>
      <c r="G182" s="742"/>
      <c r="H182" s="742"/>
      <c r="I182" s="742"/>
      <c r="J182" s="154" t="s">
        <v>299</v>
      </c>
      <c r="K182" s="154" t="s">
        <v>18</v>
      </c>
      <c r="L182" s="155" t="s">
        <v>51</v>
      </c>
      <c r="M182" s="155">
        <v>90</v>
      </c>
      <c r="N182" s="156"/>
      <c r="O182" s="768"/>
      <c r="P182" s="551" t="s">
        <v>764</v>
      </c>
      <c r="Q182" s="551" t="s">
        <v>17</v>
      </c>
      <c r="R182" s="551">
        <v>2</v>
      </c>
      <c r="S182" s="551">
        <v>1</v>
      </c>
      <c r="T182" s="551">
        <v>0</v>
      </c>
      <c r="U182" s="551">
        <v>1</v>
      </c>
      <c r="V182" s="533">
        <v>0</v>
      </c>
      <c r="W182" s="713"/>
      <c r="X182" s="715"/>
      <c r="Y182" s="671"/>
      <c r="Z182" s="671"/>
      <c r="AA182" s="507"/>
      <c r="AB182" s="658"/>
      <c r="AC182" s="658"/>
      <c r="AD182" s="80"/>
      <c r="AE182" s="159"/>
      <c r="AF182" s="159"/>
      <c r="AG182" s="159"/>
      <c r="AH182" s="152"/>
      <c r="AI182" s="152"/>
      <c r="AJ182" s="152"/>
      <c r="AK182" s="152"/>
      <c r="AL182" s="152"/>
      <c r="AM182" s="152"/>
      <c r="AN182" s="152"/>
      <c r="AO182" s="152"/>
      <c r="AP182" s="152"/>
      <c r="AQ182" s="152"/>
      <c r="AR182" s="152"/>
      <c r="AS182" s="140" t="s">
        <v>432</v>
      </c>
      <c r="AT182" s="140" t="s">
        <v>432</v>
      </c>
      <c r="AU182" s="701"/>
    </row>
    <row r="183" spans="1:47" s="1" customFormat="1" ht="86.25" customHeight="1" thickBot="1">
      <c r="A183" s="744"/>
      <c r="B183" s="737"/>
      <c r="C183" s="741" t="s">
        <v>280</v>
      </c>
      <c r="D183" s="741" t="s">
        <v>281</v>
      </c>
      <c r="E183" s="153" t="s">
        <v>303</v>
      </c>
      <c r="F183" s="153" t="s">
        <v>82</v>
      </c>
      <c r="G183" s="154" t="s">
        <v>51</v>
      </c>
      <c r="H183" s="153" t="s">
        <v>329</v>
      </c>
      <c r="I183" s="741" t="s">
        <v>305</v>
      </c>
      <c r="J183" s="154" t="s">
        <v>306</v>
      </c>
      <c r="K183" s="154" t="s">
        <v>18</v>
      </c>
      <c r="L183" s="155">
        <v>80</v>
      </c>
      <c r="M183" s="155">
        <v>90</v>
      </c>
      <c r="N183" s="156"/>
      <c r="O183" s="765" t="s">
        <v>310</v>
      </c>
      <c r="P183" s="551" t="s">
        <v>765</v>
      </c>
      <c r="Q183" s="551" t="s">
        <v>17</v>
      </c>
      <c r="R183" s="551">
        <v>2</v>
      </c>
      <c r="S183" s="551">
        <v>0</v>
      </c>
      <c r="T183" s="551">
        <v>1</v>
      </c>
      <c r="U183" s="551">
        <v>0</v>
      </c>
      <c r="V183" s="533">
        <v>1</v>
      </c>
      <c r="W183" s="713"/>
      <c r="X183" s="715"/>
      <c r="Y183" s="671"/>
      <c r="Z183" s="671"/>
      <c r="AA183" s="507"/>
      <c r="AB183" s="658"/>
      <c r="AC183" s="658"/>
      <c r="AD183" s="80"/>
      <c r="AE183" s="159"/>
      <c r="AF183" s="159"/>
      <c r="AG183" s="159"/>
      <c r="AH183" s="152"/>
      <c r="AI183" s="152"/>
      <c r="AJ183" s="152"/>
      <c r="AK183" s="152"/>
      <c r="AL183" s="152"/>
      <c r="AM183" s="152"/>
      <c r="AN183" s="152"/>
      <c r="AO183" s="152"/>
      <c r="AP183" s="152"/>
      <c r="AQ183" s="152"/>
      <c r="AR183" s="152"/>
      <c r="AS183" s="140" t="s">
        <v>432</v>
      </c>
      <c r="AT183" s="140" t="s">
        <v>432</v>
      </c>
      <c r="AU183" s="701"/>
    </row>
    <row r="184" spans="1:47" s="1" customFormat="1" ht="69.75" customHeight="1" thickBot="1">
      <c r="A184" s="744"/>
      <c r="B184" s="737"/>
      <c r="C184" s="737"/>
      <c r="D184" s="737"/>
      <c r="E184" s="741" t="s">
        <v>304</v>
      </c>
      <c r="F184" s="741" t="s">
        <v>18</v>
      </c>
      <c r="G184" s="741" t="s">
        <v>51</v>
      </c>
      <c r="H184" s="741">
        <v>90</v>
      </c>
      <c r="I184" s="737"/>
      <c r="J184" s="154" t="s">
        <v>307</v>
      </c>
      <c r="K184" s="154" t="s">
        <v>18</v>
      </c>
      <c r="L184" s="155">
        <v>25</v>
      </c>
      <c r="M184" s="155">
        <v>10</v>
      </c>
      <c r="N184" s="156"/>
      <c r="O184" s="766"/>
      <c r="P184" s="551" t="s">
        <v>766</v>
      </c>
      <c r="Q184" s="551" t="s">
        <v>17</v>
      </c>
      <c r="R184" s="551">
        <v>12</v>
      </c>
      <c r="S184" s="551">
        <v>3</v>
      </c>
      <c r="T184" s="551">
        <v>3</v>
      </c>
      <c r="U184" s="551">
        <v>3</v>
      </c>
      <c r="V184" s="533">
        <v>3</v>
      </c>
      <c r="W184" s="713"/>
      <c r="X184" s="715"/>
      <c r="Y184" s="671"/>
      <c r="Z184" s="671"/>
      <c r="AA184" s="507"/>
      <c r="AB184" s="658"/>
      <c r="AC184" s="658"/>
      <c r="AD184" s="80"/>
      <c r="AE184" s="159"/>
      <c r="AF184" s="159"/>
      <c r="AG184" s="159"/>
      <c r="AH184" s="152"/>
      <c r="AI184" s="152"/>
      <c r="AJ184" s="152"/>
      <c r="AK184" s="152"/>
      <c r="AL184" s="152"/>
      <c r="AM184" s="152"/>
      <c r="AN184" s="152"/>
      <c r="AO184" s="152"/>
      <c r="AP184" s="152"/>
      <c r="AQ184" s="152"/>
      <c r="AR184" s="152"/>
      <c r="AS184" s="140" t="s">
        <v>432</v>
      </c>
      <c r="AT184" s="140" t="s">
        <v>432</v>
      </c>
      <c r="AU184" s="701"/>
    </row>
    <row r="185" spans="1:47" s="1" customFormat="1" ht="51.75" customHeight="1" thickBot="1">
      <c r="A185" s="845"/>
      <c r="B185" s="738"/>
      <c r="C185" s="738"/>
      <c r="D185" s="738"/>
      <c r="E185" s="738"/>
      <c r="F185" s="738"/>
      <c r="G185" s="738"/>
      <c r="H185" s="738"/>
      <c r="I185" s="738"/>
      <c r="J185" s="160" t="s">
        <v>308</v>
      </c>
      <c r="K185" s="160" t="s">
        <v>17</v>
      </c>
      <c r="L185" s="161" t="s">
        <v>51</v>
      </c>
      <c r="M185" s="161">
        <v>1</v>
      </c>
      <c r="N185" s="162"/>
      <c r="O185" s="767"/>
      <c r="P185" s="551" t="s">
        <v>767</v>
      </c>
      <c r="Q185" s="551" t="s">
        <v>17</v>
      </c>
      <c r="R185" s="551">
        <v>1</v>
      </c>
      <c r="S185" s="551">
        <v>0</v>
      </c>
      <c r="T185" s="551">
        <v>1</v>
      </c>
      <c r="U185" s="551">
        <v>0</v>
      </c>
      <c r="V185" s="533">
        <v>0</v>
      </c>
      <c r="W185" s="719"/>
      <c r="X185" s="726"/>
      <c r="Y185" s="727"/>
      <c r="Z185" s="727"/>
      <c r="AA185" s="655"/>
      <c r="AB185" s="659"/>
      <c r="AC185" s="659"/>
      <c r="AD185" s="80"/>
      <c r="AE185" s="159"/>
      <c r="AF185" s="159"/>
      <c r="AG185" s="159"/>
      <c r="AH185" s="152"/>
      <c r="AI185" s="152"/>
      <c r="AJ185" s="152"/>
      <c r="AK185" s="152"/>
      <c r="AL185" s="152"/>
      <c r="AM185" s="152"/>
      <c r="AN185" s="152"/>
      <c r="AO185" s="152"/>
      <c r="AP185" s="152"/>
      <c r="AQ185" s="152"/>
      <c r="AR185" s="152"/>
      <c r="AS185" s="140" t="s">
        <v>432</v>
      </c>
      <c r="AT185" s="140" t="s">
        <v>432</v>
      </c>
      <c r="AU185" s="702"/>
    </row>
    <row r="186" spans="1:47" s="12" customFormat="1" ht="42" customHeight="1" thickBot="1">
      <c r="A186" s="450"/>
      <c r="B186" s="450"/>
      <c r="C186" s="450"/>
      <c r="D186" s="450"/>
      <c r="E186" s="450"/>
      <c r="F186" s="450"/>
      <c r="G186" s="450"/>
      <c r="H186" s="450"/>
      <c r="I186" s="450"/>
      <c r="J186" s="450"/>
      <c r="K186" s="450"/>
      <c r="L186" s="450"/>
      <c r="M186" s="450"/>
      <c r="N186" s="450"/>
      <c r="O186" s="450"/>
      <c r="P186" s="450"/>
      <c r="Q186" s="451">
        <f>SUBTOTAL(9,Q8:Q185)</f>
        <v>29</v>
      </c>
      <c r="R186" s="451"/>
      <c r="S186" s="451">
        <f>SUBTOTAL(9,S8:S185)</f>
        <v>6390</v>
      </c>
      <c r="T186" s="451">
        <f>SUBTOTAL(9,T8:T185)</f>
        <v>6415</v>
      </c>
      <c r="U186" s="451">
        <f>SUBTOTAL(9,U8:U185)</f>
        <v>4006</v>
      </c>
      <c r="V186" s="451">
        <f>SUBTOTAL(9,V8:V185)</f>
        <v>3105</v>
      </c>
      <c r="W186" s="27"/>
      <c r="X186" s="28"/>
      <c r="Y186" s="29">
        <f>SUM(Y8:Y185)</f>
        <v>154210833597</v>
      </c>
      <c r="Z186" s="29">
        <f>SUM(Z8:Z185)</f>
        <v>154210833597</v>
      </c>
      <c r="AA186" s="660">
        <f>SUBTOTAL(9,AA8:AA185)</f>
        <v>42</v>
      </c>
      <c r="AB186" s="660">
        <f>SUBTOTAL(9,AB8:AB185)</f>
        <v>0</v>
      </c>
      <c r="AC186" s="660">
        <f t="shared" ref="AC186:AD186" si="0">SUBTOTAL(9,AC8:AC185)</f>
        <v>0</v>
      </c>
      <c r="AD186" s="660">
        <f t="shared" si="0"/>
        <v>0</v>
      </c>
      <c r="AE186" s="29">
        <f>SUM(AE8:AE185)</f>
        <v>0</v>
      </c>
      <c r="AF186" s="288"/>
      <c r="AG186" s="288"/>
      <c r="AH186" s="292"/>
      <c r="AI186" s="292"/>
      <c r="AJ186" s="292"/>
      <c r="AK186" s="292"/>
      <c r="AL186" s="292"/>
      <c r="AM186" s="292"/>
      <c r="AN186" s="292"/>
      <c r="AO186" s="292"/>
      <c r="AP186" s="292"/>
      <c r="AQ186" s="292"/>
      <c r="AR186" s="292"/>
      <c r="AS186" s="753"/>
      <c r="AT186" s="754"/>
      <c r="AU186" s="168"/>
    </row>
    <row r="187" spans="1:47" s="1" customFormat="1">
      <c r="A187" s="10"/>
      <c r="B187" s="3"/>
      <c r="C187" s="3"/>
      <c r="D187" s="3"/>
      <c r="E187" s="3"/>
      <c r="F187" s="3"/>
      <c r="G187" s="3"/>
      <c r="H187" s="3"/>
      <c r="I187" s="3"/>
      <c r="J187" s="3"/>
      <c r="K187" s="3"/>
      <c r="P187" s="5"/>
      <c r="Q187" s="3"/>
      <c r="R187" s="3"/>
      <c r="S187" s="3"/>
      <c r="T187" s="3"/>
      <c r="U187" s="3"/>
      <c r="V187" s="3"/>
      <c r="W187" s="7"/>
      <c r="X187" s="3"/>
      <c r="Y187" s="8"/>
      <c r="Z187" s="9"/>
      <c r="AA187" s="9"/>
      <c r="AB187" s="9"/>
      <c r="AC187" s="9"/>
      <c r="AD187" s="9"/>
      <c r="AE187" s="9"/>
      <c r="AF187" s="9"/>
      <c r="AG187" s="9"/>
      <c r="AH187" s="9"/>
      <c r="AI187" s="9"/>
      <c r="AJ187" s="9"/>
      <c r="AK187" s="9"/>
      <c r="AL187" s="9"/>
      <c r="AM187" s="9"/>
      <c r="AN187" s="9"/>
      <c r="AO187" s="9"/>
      <c r="AP187" s="9"/>
      <c r="AQ187" s="9"/>
      <c r="AR187" s="9"/>
      <c r="AS187" s="3"/>
      <c r="AT187" s="3"/>
    </row>
    <row r="188" spans="1:47" s="1" customFormat="1">
      <c r="A188" s="10"/>
      <c r="B188" s="3"/>
      <c r="C188" s="3"/>
      <c r="D188" s="3"/>
      <c r="E188" s="3"/>
      <c r="F188" s="3"/>
      <c r="G188" s="3"/>
      <c r="H188" s="3"/>
      <c r="I188" s="3"/>
      <c r="J188" s="3"/>
      <c r="K188" s="3"/>
      <c r="P188" s="5"/>
      <c r="Q188" s="3"/>
      <c r="R188" s="3"/>
      <c r="S188" s="3"/>
      <c r="T188" s="3"/>
      <c r="U188" s="3"/>
      <c r="V188" s="3"/>
      <c r="X188" s="3"/>
      <c r="Y188" s="7"/>
      <c r="Z188" s="9"/>
      <c r="AA188" s="9"/>
      <c r="AB188" s="9"/>
      <c r="AC188" s="9"/>
      <c r="AD188" s="9"/>
      <c r="AE188" s="9"/>
      <c r="AF188" s="9"/>
      <c r="AG188" s="9"/>
      <c r="AH188" s="9"/>
      <c r="AI188" s="9"/>
      <c r="AJ188" s="9"/>
      <c r="AK188" s="9"/>
      <c r="AL188" s="9"/>
      <c r="AM188" s="9"/>
      <c r="AN188" s="9"/>
      <c r="AO188" s="9"/>
      <c r="AP188" s="9"/>
      <c r="AQ188" s="9"/>
      <c r="AR188" s="9"/>
      <c r="AS188" s="3"/>
      <c r="AT188" s="3"/>
    </row>
    <row r="189" spans="1:47" s="1" customFormat="1">
      <c r="A189" s="10"/>
      <c r="B189" s="3"/>
      <c r="C189" s="3"/>
      <c r="D189" s="3"/>
      <c r="E189" s="3"/>
      <c r="F189" s="3"/>
      <c r="G189" s="3"/>
      <c r="H189" s="3"/>
      <c r="I189" s="3"/>
      <c r="J189" s="3"/>
      <c r="K189" s="3"/>
      <c r="Y189" s="7"/>
      <c r="Z189" s="13"/>
      <c r="AA189" s="13"/>
      <c r="AB189" s="13"/>
      <c r="AC189" s="13"/>
      <c r="AD189" s="13"/>
      <c r="AE189" s="13"/>
      <c r="AF189" s="13"/>
      <c r="AG189" s="13"/>
      <c r="AH189" s="13"/>
      <c r="AI189" s="13"/>
      <c r="AJ189" s="13"/>
      <c r="AK189" s="13"/>
      <c r="AL189" s="13"/>
      <c r="AM189" s="13"/>
      <c r="AN189" s="13"/>
      <c r="AO189" s="13"/>
      <c r="AP189" s="13"/>
      <c r="AQ189" s="13"/>
      <c r="AR189" s="13"/>
      <c r="AS189" s="3"/>
      <c r="AT189" s="3"/>
    </row>
    <row r="190" spans="1:47" s="1" customFormat="1">
      <c r="A190" s="10"/>
      <c r="B190" s="3"/>
      <c r="C190" s="3"/>
      <c r="D190" s="3"/>
      <c r="E190" s="3"/>
      <c r="F190" s="3"/>
      <c r="G190" s="3"/>
      <c r="H190" s="3"/>
      <c r="I190" s="3"/>
      <c r="J190" s="3"/>
      <c r="K190" s="3"/>
      <c r="Y190" s="7"/>
      <c r="Z190" s="8"/>
      <c r="AA190" s="8"/>
      <c r="AB190" s="8"/>
      <c r="AC190" s="8"/>
      <c r="AD190" s="8"/>
      <c r="AE190" s="8"/>
      <c r="AF190" s="8"/>
      <c r="AG190" s="8"/>
      <c r="AH190" s="8"/>
      <c r="AI190" s="8"/>
      <c r="AJ190" s="8"/>
      <c r="AK190" s="8"/>
      <c r="AL190" s="8"/>
      <c r="AM190" s="8"/>
      <c r="AN190" s="8"/>
      <c r="AO190" s="8"/>
      <c r="AP190" s="8"/>
      <c r="AQ190" s="8"/>
      <c r="AR190" s="8"/>
      <c r="AS190" s="3"/>
      <c r="AT190" s="3"/>
    </row>
    <row r="191" spans="1:47" s="1" customFormat="1" ht="28.5" customHeight="1">
      <c r="A191" s="10"/>
      <c r="B191" s="3"/>
      <c r="C191" s="3"/>
      <c r="D191" s="3"/>
      <c r="E191" s="3"/>
      <c r="F191" s="3"/>
      <c r="G191" s="3"/>
      <c r="H191" s="3"/>
      <c r="I191" s="3"/>
      <c r="J191" s="3"/>
      <c r="K191" s="3"/>
      <c r="P191" s="304"/>
      <c r="Q191" s="842" t="s">
        <v>706</v>
      </c>
      <c r="R191" s="842"/>
      <c r="S191" s="509"/>
      <c r="T191" s="509"/>
      <c r="U191" s="510"/>
      <c r="Y191" s="7"/>
      <c r="Z191" s="8">
        <f>+Z195-Z186</f>
        <v>-1.4801025390625E-2</v>
      </c>
      <c r="AA191" s="8"/>
      <c r="AB191" s="8"/>
      <c r="AC191" s="8"/>
      <c r="AD191" s="8"/>
      <c r="AE191" s="8"/>
      <c r="AF191" s="8"/>
      <c r="AG191" s="8"/>
      <c r="AH191" s="8"/>
      <c r="AI191" s="8"/>
      <c r="AJ191" s="8"/>
      <c r="AK191" s="8"/>
      <c r="AL191" s="8"/>
      <c r="AM191" s="8"/>
      <c r="AN191" s="8"/>
      <c r="AO191" s="8"/>
      <c r="AP191" s="8"/>
      <c r="AQ191" s="8"/>
      <c r="AR191" s="8"/>
      <c r="AS191" s="3"/>
      <c r="AT191" s="3"/>
    </row>
    <row r="192" spans="1:47" s="1" customFormat="1" ht="28.5">
      <c r="A192" s="10"/>
      <c r="B192" s="3"/>
      <c r="C192" s="3"/>
      <c r="D192" s="3"/>
      <c r="E192" s="3"/>
      <c r="F192" s="3"/>
      <c r="G192" s="3"/>
      <c r="H192" s="3"/>
      <c r="I192" s="3"/>
      <c r="J192" s="3"/>
      <c r="K192" s="3"/>
      <c r="P192" s="304" t="s">
        <v>709</v>
      </c>
      <c r="Q192" s="303" t="s">
        <v>708</v>
      </c>
      <c r="R192" s="303" t="s">
        <v>707</v>
      </c>
      <c r="U192" s="304" t="s">
        <v>709</v>
      </c>
      <c r="Y192" s="7"/>
      <c r="Z192" s="8"/>
      <c r="AA192" s="8"/>
      <c r="AB192" s="8"/>
      <c r="AD192" s="8"/>
      <c r="AE192" s="8"/>
      <c r="AF192" s="8"/>
      <c r="AG192" s="8"/>
      <c r="AH192" s="8"/>
      <c r="AI192" s="8"/>
      <c r="AJ192" s="8"/>
      <c r="AK192" s="8"/>
      <c r="AL192" s="8"/>
      <c r="AM192" s="8"/>
      <c r="AN192" s="8"/>
      <c r="AO192" s="8"/>
      <c r="AP192" s="8"/>
      <c r="AQ192" s="8"/>
      <c r="AR192" s="8"/>
      <c r="AS192" s="3"/>
      <c r="AT192" s="3"/>
    </row>
    <row r="193" spans="1:46" s="1" customFormat="1">
      <c r="A193" s="10"/>
      <c r="B193" s="3"/>
      <c r="C193" s="3"/>
      <c r="D193" s="3"/>
      <c r="E193" s="3"/>
      <c r="F193" s="3"/>
      <c r="G193" s="3"/>
      <c r="H193" s="3"/>
      <c r="I193" s="3"/>
      <c r="J193" s="3"/>
      <c r="K193" s="3"/>
      <c r="P193" s="304"/>
      <c r="Q193" s="304"/>
      <c r="R193" s="304"/>
      <c r="U193" s="304"/>
      <c r="Y193" s="178"/>
      <c r="Z193" s="8"/>
      <c r="AA193" s="8"/>
      <c r="AB193" s="8"/>
      <c r="AC193" s="8"/>
      <c r="AD193" s="8"/>
      <c r="AE193" s="8"/>
      <c r="AF193" s="8"/>
      <c r="AG193" s="8"/>
      <c r="AH193" s="8"/>
      <c r="AI193" s="8"/>
      <c r="AJ193" s="8"/>
      <c r="AK193" s="8"/>
      <c r="AL193" s="8"/>
      <c r="AM193" s="8"/>
      <c r="AN193" s="8"/>
      <c r="AO193" s="8"/>
      <c r="AP193" s="8"/>
      <c r="AQ193" s="8"/>
      <c r="AR193" s="8"/>
      <c r="AS193" s="3"/>
      <c r="AT193" s="3"/>
    </row>
    <row r="194" spans="1:46" s="1" customFormat="1">
      <c r="A194" s="10"/>
      <c r="B194" s="3"/>
      <c r="C194" s="3"/>
      <c r="D194" s="3"/>
      <c r="E194" s="3"/>
      <c r="F194" s="3"/>
      <c r="G194" s="3"/>
      <c r="H194" s="3"/>
      <c r="I194" s="3"/>
      <c r="J194" s="3"/>
      <c r="K194" s="3"/>
      <c r="Y194" s="7"/>
      <c r="Z194" s="8"/>
      <c r="AA194" s="8"/>
      <c r="AB194" s="8"/>
      <c r="AC194" s="8"/>
      <c r="AD194" s="8"/>
      <c r="AE194" s="8"/>
      <c r="AF194" s="8"/>
      <c r="AG194" s="8"/>
      <c r="AH194" s="8"/>
      <c r="AI194" s="8"/>
      <c r="AJ194" s="8"/>
      <c r="AK194" s="8"/>
      <c r="AL194" s="8"/>
      <c r="AM194" s="8"/>
      <c r="AN194" s="8"/>
      <c r="AO194" s="8"/>
      <c r="AP194" s="8"/>
      <c r="AQ194" s="8"/>
      <c r="AR194" s="8"/>
      <c r="AS194" s="3"/>
      <c r="AT194" s="3"/>
    </row>
    <row r="195" spans="1:46" s="1" customFormat="1" ht="23.25">
      <c r="A195" s="10"/>
      <c r="B195" s="3"/>
      <c r="C195" s="3"/>
      <c r="D195" s="3"/>
      <c r="E195" s="3"/>
      <c r="F195" s="3"/>
      <c r="G195" s="3"/>
      <c r="H195" s="3"/>
      <c r="I195" s="3"/>
      <c r="J195" s="3"/>
      <c r="K195" s="3"/>
      <c r="Y195" s="7"/>
      <c r="Z195" s="14">
        <v>154210833596.9852</v>
      </c>
      <c r="AA195" s="286"/>
      <c r="AB195" s="286"/>
      <c r="AC195" s="286"/>
      <c r="AD195" s="286"/>
      <c r="AE195" s="286"/>
      <c r="AF195" s="286"/>
      <c r="AG195" s="286"/>
      <c r="AH195" s="286"/>
      <c r="AI195" s="286"/>
      <c r="AJ195" s="286"/>
      <c r="AK195" s="286"/>
      <c r="AL195" s="286"/>
      <c r="AM195" s="286"/>
      <c r="AN195" s="286"/>
      <c r="AO195" s="286"/>
      <c r="AP195" s="286"/>
      <c r="AQ195" s="286"/>
      <c r="AR195" s="286"/>
      <c r="AS195" s="15">
        <f>Z195-Z186</f>
        <v>-1.4801025390625E-2</v>
      </c>
      <c r="AT195" s="3"/>
    </row>
    <row r="196" spans="1:46" s="1" customFormat="1" ht="16.5" thickBot="1">
      <c r="A196" s="10"/>
      <c r="B196" s="3"/>
      <c r="C196" s="3"/>
      <c r="D196" s="3"/>
      <c r="E196" s="3"/>
      <c r="F196" s="3"/>
      <c r="G196" s="3"/>
      <c r="H196" s="3"/>
      <c r="I196" s="3"/>
      <c r="J196" s="3"/>
      <c r="K196" s="3"/>
      <c r="P196" s="846">
        <f>O196</f>
        <v>0</v>
      </c>
      <c r="Y196" s="7"/>
      <c r="Z196" s="8"/>
      <c r="AA196" s="8"/>
      <c r="AB196" s="8"/>
      <c r="AC196" s="8"/>
      <c r="AD196" s="8"/>
      <c r="AE196" s="8"/>
      <c r="AF196" s="8"/>
      <c r="AG196" s="8"/>
      <c r="AH196" s="8"/>
      <c r="AI196" s="8"/>
      <c r="AJ196" s="8"/>
      <c r="AK196" s="8"/>
      <c r="AL196" s="8"/>
      <c r="AM196" s="8"/>
      <c r="AN196" s="8"/>
      <c r="AO196" s="8"/>
      <c r="AP196" s="8"/>
      <c r="AQ196" s="8"/>
      <c r="AR196" s="8"/>
      <c r="AS196" s="3"/>
      <c r="AT196" s="3"/>
    </row>
    <row r="197" spans="1:46" s="1" customFormat="1" ht="90">
      <c r="A197" s="10"/>
      <c r="B197" s="3"/>
      <c r="C197" s="3"/>
      <c r="D197" s="3"/>
      <c r="E197" s="3"/>
      <c r="F197" s="3"/>
      <c r="G197" s="3"/>
      <c r="H197" s="3"/>
      <c r="I197" s="3"/>
      <c r="J197" s="3"/>
      <c r="K197" s="3"/>
      <c r="P197" s="847"/>
      <c r="Y197" s="178"/>
      <c r="Z197" s="579" t="s">
        <v>806</v>
      </c>
      <c r="AA197" s="580" t="s">
        <v>807</v>
      </c>
      <c r="AB197" s="581" t="s">
        <v>659</v>
      </c>
      <c r="AC197" s="581" t="s">
        <v>660</v>
      </c>
      <c r="AD197" s="581" t="s">
        <v>661</v>
      </c>
      <c r="AE197" s="581" t="s">
        <v>662</v>
      </c>
      <c r="AF197" s="581" t="s">
        <v>663</v>
      </c>
      <c r="AG197" s="581" t="s">
        <v>664</v>
      </c>
      <c r="AH197" s="581" t="s">
        <v>665</v>
      </c>
      <c r="AI197" s="582" t="s">
        <v>666</v>
      </c>
      <c r="AJ197" s="8"/>
      <c r="AK197" s="8"/>
      <c r="AL197" s="8"/>
      <c r="AM197" s="8"/>
      <c r="AN197" s="8"/>
      <c r="AO197" s="8"/>
      <c r="AP197" s="8"/>
      <c r="AQ197" s="8"/>
      <c r="AR197" s="8"/>
      <c r="AS197" s="3"/>
      <c r="AT197" s="3"/>
    </row>
    <row r="198" spans="1:46" s="1" customFormat="1" ht="18.75" thickBot="1">
      <c r="A198" s="10"/>
      <c r="B198" s="3"/>
      <c r="C198" s="3"/>
      <c r="D198" s="3"/>
      <c r="E198" s="3"/>
      <c r="F198" s="3"/>
      <c r="G198" s="3"/>
      <c r="H198" s="3"/>
      <c r="I198" s="3"/>
      <c r="J198" s="3"/>
      <c r="K198" s="3"/>
      <c r="P198" s="847"/>
      <c r="Q198" s="3"/>
      <c r="R198" s="3"/>
      <c r="S198" s="3"/>
      <c r="T198" s="3"/>
      <c r="U198" s="3"/>
      <c r="V198" s="3"/>
      <c r="W198" s="7"/>
      <c r="Y198" s="8"/>
      <c r="Z198" s="583"/>
      <c r="AA198" s="468"/>
      <c r="AB198" s="468"/>
      <c r="AC198" s="468"/>
      <c r="AD198" s="468"/>
      <c r="AE198" s="584"/>
      <c r="AF198" s="468"/>
      <c r="AG198" s="584"/>
      <c r="AH198" s="468"/>
      <c r="AI198" s="585"/>
      <c r="AJ198" s="8"/>
      <c r="AK198" s="8"/>
      <c r="AL198" s="8"/>
      <c r="AM198" s="8"/>
      <c r="AN198" s="8"/>
      <c r="AO198" s="8"/>
      <c r="AP198" s="8"/>
      <c r="AQ198" s="8"/>
      <c r="AR198" s="8"/>
      <c r="AS198" s="3"/>
      <c r="AT198" s="3"/>
    </row>
    <row r="199" spans="1:46" s="1" customFormat="1">
      <c r="A199" s="10"/>
      <c r="B199" s="3"/>
      <c r="C199" s="3"/>
      <c r="D199" s="3"/>
      <c r="E199" s="3"/>
      <c r="F199" s="3"/>
      <c r="G199" s="3"/>
      <c r="H199" s="3"/>
      <c r="I199" s="3"/>
      <c r="J199" s="3"/>
      <c r="K199" s="3"/>
      <c r="P199" s="848"/>
      <c r="Q199" s="3"/>
      <c r="R199" s="3"/>
      <c r="S199" s="3"/>
      <c r="T199" s="3"/>
      <c r="U199" s="3"/>
      <c r="V199" s="3"/>
      <c r="W199" s="7"/>
      <c r="X199" s="3"/>
      <c r="Y199" s="8"/>
      <c r="Z199" s="8"/>
      <c r="AA199" s="8"/>
      <c r="AB199" s="8"/>
      <c r="AC199" s="8"/>
      <c r="AD199" s="8"/>
      <c r="AE199" s="8"/>
      <c r="AF199" s="8"/>
      <c r="AG199" s="8"/>
      <c r="AH199" s="8"/>
      <c r="AI199" s="8"/>
      <c r="AJ199" s="8"/>
      <c r="AK199" s="8"/>
      <c r="AL199" s="8"/>
      <c r="AM199" s="8"/>
      <c r="AN199" s="8"/>
      <c r="AO199" s="8"/>
      <c r="AP199" s="8"/>
      <c r="AQ199" s="8"/>
      <c r="AR199" s="8"/>
      <c r="AS199" s="3"/>
      <c r="AT199" s="3"/>
    </row>
    <row r="200" spans="1:46" s="1" customFormat="1">
      <c r="A200" s="10"/>
      <c r="B200" s="3"/>
      <c r="C200" s="3"/>
      <c r="D200" s="3"/>
      <c r="E200" s="3"/>
      <c r="F200" s="3"/>
      <c r="G200" s="3"/>
      <c r="H200" s="3"/>
      <c r="I200" s="3"/>
      <c r="J200" s="3"/>
      <c r="K200" s="3"/>
      <c r="P200" s="5"/>
      <c r="Q200" s="3"/>
      <c r="R200" s="3"/>
      <c r="S200" s="3"/>
      <c r="T200" s="3"/>
      <c r="U200" s="3"/>
      <c r="V200" s="3"/>
      <c r="W200" s="7"/>
      <c r="X200" s="3"/>
      <c r="Y200" s="8"/>
      <c r="Z200" s="8"/>
      <c r="AA200" s="8"/>
      <c r="AB200" s="8"/>
      <c r="AC200" s="8"/>
      <c r="AD200" s="8"/>
      <c r="AE200" s="8"/>
      <c r="AF200" s="8"/>
      <c r="AG200" s="8"/>
      <c r="AH200" s="8"/>
      <c r="AI200" s="8"/>
      <c r="AJ200" s="8"/>
      <c r="AK200" s="8"/>
      <c r="AL200" s="8"/>
      <c r="AM200" s="8"/>
      <c r="AN200" s="8"/>
      <c r="AO200" s="8"/>
      <c r="AP200" s="8"/>
      <c r="AQ200" s="8"/>
      <c r="AR200" s="8"/>
      <c r="AS200" s="3"/>
      <c r="AT200" s="3"/>
    </row>
    <row r="201" spans="1:46" s="1" customFormat="1" ht="90">
      <c r="A201" s="10"/>
      <c r="B201" s="3"/>
      <c r="C201" s="3"/>
      <c r="D201" s="3"/>
      <c r="E201" s="3"/>
      <c r="F201" s="3"/>
      <c r="G201" s="3"/>
      <c r="H201" s="3"/>
      <c r="I201" s="3"/>
      <c r="J201" s="3"/>
      <c r="K201" s="3"/>
      <c r="P201" s="5"/>
      <c r="Q201" s="3"/>
      <c r="R201" s="3"/>
      <c r="S201" s="3"/>
      <c r="T201" s="3"/>
      <c r="U201" s="3"/>
      <c r="V201" s="3"/>
      <c r="W201" s="7"/>
      <c r="X201" s="3"/>
      <c r="Y201" s="8"/>
      <c r="Z201" s="452" t="s">
        <v>806</v>
      </c>
      <c r="AA201" s="452" t="s">
        <v>807</v>
      </c>
      <c r="AB201" s="453" t="s">
        <v>659</v>
      </c>
      <c r="AC201" s="453" t="s">
        <v>660</v>
      </c>
      <c r="AD201" s="453" t="s">
        <v>667</v>
      </c>
      <c r="AE201" s="453" t="s">
        <v>668</v>
      </c>
      <c r="AF201" s="8"/>
      <c r="AG201" s="8"/>
      <c r="AH201" s="8"/>
      <c r="AI201" s="8"/>
      <c r="AJ201" s="8"/>
      <c r="AK201" s="8"/>
      <c r="AL201" s="8"/>
      <c r="AM201" s="8"/>
      <c r="AN201" s="8"/>
      <c r="AO201" s="8"/>
      <c r="AP201" s="8"/>
      <c r="AQ201" s="8"/>
      <c r="AR201" s="8"/>
      <c r="AS201" s="3"/>
      <c r="AT201" s="3"/>
    </row>
    <row r="202" spans="1:46" s="1" customFormat="1" ht="60.75">
      <c r="A202" s="10"/>
      <c r="B202" s="3"/>
      <c r="C202" s="3"/>
      <c r="D202" s="3"/>
      <c r="E202" s="3"/>
      <c r="F202" s="3"/>
      <c r="G202" s="3"/>
      <c r="H202" s="3"/>
      <c r="I202" s="3"/>
      <c r="J202" s="846">
        <f>I202</f>
        <v>0</v>
      </c>
      <c r="K202" s="3"/>
      <c r="P202" s="5"/>
      <c r="Q202" s="3"/>
      <c r="R202" s="3"/>
      <c r="S202" s="3"/>
      <c r="T202" s="3"/>
      <c r="U202" s="3"/>
      <c r="V202" s="3"/>
      <c r="W202" s="7"/>
      <c r="X202" s="3"/>
      <c r="Y202" s="8"/>
      <c r="Z202" s="454">
        <v>0</v>
      </c>
      <c r="AA202" s="454">
        <f>AA198</f>
        <v>0</v>
      </c>
      <c r="AB202" s="454">
        <f>AB198</f>
        <v>0</v>
      </c>
      <c r="AC202" s="454">
        <f>AC198</f>
        <v>0</v>
      </c>
      <c r="AD202" s="456" t="e">
        <f>AC202/AB202</f>
        <v>#DIV/0!</v>
      </c>
      <c r="AE202" s="457" t="e">
        <f>AC202/AA202</f>
        <v>#DIV/0!</v>
      </c>
      <c r="AF202" s="8"/>
      <c r="AG202" s="8"/>
      <c r="AH202" s="8"/>
      <c r="AI202" s="463" t="s">
        <v>670</v>
      </c>
      <c r="AJ202" s="463" t="s">
        <v>671</v>
      </c>
      <c r="AK202" s="463" t="s">
        <v>672</v>
      </c>
      <c r="AL202" s="463" t="s">
        <v>673</v>
      </c>
      <c r="AM202" s="8"/>
      <c r="AN202" s="8"/>
      <c r="AO202" s="8"/>
      <c r="AP202" s="8"/>
      <c r="AQ202" s="8"/>
      <c r="AR202" s="8"/>
      <c r="AS202" s="3"/>
      <c r="AT202" s="3"/>
    </row>
    <row r="203" spans="1:46" s="1" customFormat="1" ht="23.25">
      <c r="A203" s="10"/>
      <c r="B203" s="3"/>
      <c r="C203" s="3"/>
      <c r="D203" s="3"/>
      <c r="E203" s="3"/>
      <c r="F203" s="3"/>
      <c r="G203" s="3"/>
      <c r="H203" s="3"/>
      <c r="I203" s="3"/>
      <c r="J203" s="847"/>
      <c r="K203" s="3"/>
      <c r="P203" s="5"/>
      <c r="Q203" s="3"/>
      <c r="R203" s="3"/>
      <c r="S203" s="3"/>
      <c r="T203" s="3"/>
      <c r="U203" s="3"/>
      <c r="V203" s="3"/>
      <c r="W203" s="7"/>
      <c r="X203" s="3"/>
      <c r="Y203" s="8"/>
      <c r="Z203" s="8"/>
      <c r="AA203" s="8"/>
      <c r="AB203" s="8"/>
      <c r="AC203" s="8"/>
      <c r="AD203" s="458"/>
      <c r="AE203" s="458"/>
      <c r="AF203" s="8"/>
      <c r="AG203" s="8"/>
      <c r="AH203" s="8"/>
      <c r="AI203" s="467"/>
      <c r="AJ203" s="462"/>
      <c r="AK203" s="462"/>
      <c r="AL203" s="462"/>
      <c r="AM203" s="8"/>
      <c r="AN203" s="8"/>
      <c r="AO203" s="8"/>
      <c r="AP203" s="8"/>
      <c r="AQ203" s="8"/>
      <c r="AR203" s="8"/>
      <c r="AS203" s="3"/>
      <c r="AT203" s="3"/>
    </row>
    <row r="204" spans="1:46" s="1" customFormat="1">
      <c r="A204" s="10"/>
      <c r="B204" s="3"/>
      <c r="C204" s="3"/>
      <c r="D204" s="3"/>
      <c r="E204" s="3"/>
      <c r="F204" s="3"/>
      <c r="G204" s="3"/>
      <c r="H204" s="3"/>
      <c r="I204" s="3"/>
      <c r="J204" s="847"/>
      <c r="K204" s="3"/>
      <c r="P204" s="5"/>
      <c r="Q204" s="3"/>
      <c r="R204" s="3"/>
      <c r="S204" s="3"/>
      <c r="T204" s="3"/>
      <c r="U204" s="3"/>
      <c r="V204" s="3"/>
      <c r="W204" s="7"/>
      <c r="X204" s="3"/>
      <c r="Y204" s="8"/>
      <c r="Z204" s="8"/>
      <c r="AA204" s="8"/>
      <c r="AB204" s="8"/>
      <c r="AD204" s="8"/>
      <c r="AE204" s="8"/>
      <c r="AF204" s="8"/>
      <c r="AG204" s="8"/>
      <c r="AH204" s="8"/>
      <c r="AI204" s="8"/>
      <c r="AJ204" s="8"/>
      <c r="AK204" s="8"/>
      <c r="AL204" s="8"/>
      <c r="AM204" s="8"/>
      <c r="AN204" s="8"/>
      <c r="AO204" s="8"/>
      <c r="AP204" s="8"/>
      <c r="AQ204" s="8"/>
      <c r="AR204" s="8"/>
      <c r="AS204" s="3"/>
      <c r="AT204" s="3"/>
    </row>
    <row r="205" spans="1:46" s="1" customFormat="1">
      <c r="A205" s="10"/>
      <c r="B205" s="3"/>
      <c r="C205" s="3"/>
      <c r="D205" s="3"/>
      <c r="E205" s="3"/>
      <c r="F205" s="3"/>
      <c r="G205" s="3"/>
      <c r="H205" s="3"/>
      <c r="I205" s="3"/>
      <c r="J205" s="848"/>
      <c r="K205" s="3"/>
      <c r="P205" s="5"/>
      <c r="Q205" s="3"/>
      <c r="R205" s="3"/>
      <c r="S205" s="3"/>
      <c r="T205" s="3"/>
      <c r="U205" s="3"/>
      <c r="V205" s="3"/>
      <c r="W205" s="7"/>
      <c r="X205" s="3"/>
      <c r="Y205" s="8"/>
      <c r="Z205" s="8"/>
      <c r="AA205" s="8"/>
      <c r="AB205" s="8"/>
      <c r="AC205" s="8"/>
      <c r="AD205" s="8"/>
      <c r="AE205" s="8"/>
      <c r="AF205" s="8"/>
      <c r="AG205" s="466" t="e">
        <f>(AB202+AC208)/AA198</f>
        <v>#DIV/0!</v>
      </c>
      <c r="AH205" s="460">
        <f>AA198+AA207</f>
        <v>0</v>
      </c>
      <c r="AI205" s="8"/>
      <c r="AJ205" s="8"/>
      <c r="AK205" s="8"/>
      <c r="AL205" s="8"/>
      <c r="AM205" s="8"/>
      <c r="AN205" s="8"/>
      <c r="AO205" s="8"/>
      <c r="AP205" s="8"/>
      <c r="AQ205" s="8"/>
      <c r="AR205" s="8"/>
      <c r="AS205" s="3"/>
      <c r="AT205" s="3"/>
    </row>
    <row r="206" spans="1:46" ht="90">
      <c r="Z206" s="452" t="s">
        <v>806</v>
      </c>
      <c r="AA206" s="452" t="s">
        <v>807</v>
      </c>
      <c r="AB206" s="453" t="s">
        <v>675</v>
      </c>
      <c r="AC206" s="453" t="s">
        <v>669</v>
      </c>
      <c r="AD206" s="453" t="s">
        <v>660</v>
      </c>
      <c r="AE206" s="453" t="s">
        <v>668</v>
      </c>
      <c r="AH206" s="851" t="s">
        <v>684</v>
      </c>
      <c r="AI206" s="851" t="s">
        <v>693</v>
      </c>
      <c r="AJ206" s="851" t="s">
        <v>678</v>
      </c>
      <c r="AK206" s="851"/>
      <c r="AL206" s="851" t="s">
        <v>679</v>
      </c>
      <c r="AM206" s="851" t="s">
        <v>680</v>
      </c>
      <c r="AN206" s="851" t="s">
        <v>681</v>
      </c>
      <c r="AO206" s="843" t="s">
        <v>694</v>
      </c>
    </row>
    <row r="207" spans="1:46" ht="18">
      <c r="Z207" s="561"/>
      <c r="AA207" s="455"/>
      <c r="AB207" s="459"/>
      <c r="AC207" s="455"/>
      <c r="AD207" s="455"/>
      <c r="AE207" s="455"/>
      <c r="AH207" s="851"/>
      <c r="AI207" s="851"/>
      <c r="AJ207" s="464" t="s">
        <v>682</v>
      </c>
      <c r="AK207" s="464" t="s">
        <v>683</v>
      </c>
      <c r="AL207" s="851"/>
      <c r="AM207" s="851"/>
      <c r="AN207" s="851"/>
      <c r="AO207" s="844"/>
    </row>
    <row r="208" spans="1:46" ht="42.75">
      <c r="Z208" s="561"/>
      <c r="AA208" s="454"/>
      <c r="AB208" s="455"/>
      <c r="AC208" s="455"/>
      <c r="AD208" s="561"/>
      <c r="AE208" s="561"/>
      <c r="AH208" s="461" t="s">
        <v>685</v>
      </c>
      <c r="AI208" s="465"/>
      <c r="AJ208" s="465"/>
      <c r="AK208" s="465"/>
      <c r="AL208" s="314"/>
      <c r="AM208" s="461"/>
      <c r="AN208" s="461"/>
      <c r="AO208" s="461"/>
    </row>
    <row r="209" spans="26:41" ht="42.75">
      <c r="AH209" s="461" t="s">
        <v>692</v>
      </c>
      <c r="AI209" s="461"/>
      <c r="AJ209" s="461"/>
      <c r="AK209" s="461"/>
      <c r="AL209" s="461"/>
      <c r="AM209" s="461"/>
      <c r="AN209" s="461"/>
      <c r="AO209" s="461"/>
    </row>
    <row r="210" spans="26:41" ht="28.5">
      <c r="AH210" s="461" t="s">
        <v>691</v>
      </c>
      <c r="AI210" s="461"/>
      <c r="AJ210" s="461"/>
      <c r="AK210" s="461"/>
      <c r="AL210" s="461"/>
      <c r="AM210" s="461"/>
      <c r="AN210" s="461"/>
      <c r="AO210" s="461"/>
    </row>
    <row r="211" spans="26:41" ht="90">
      <c r="Z211" s="452" t="s">
        <v>806</v>
      </c>
      <c r="AA211" s="452" t="s">
        <v>807</v>
      </c>
      <c r="AB211" s="453" t="s">
        <v>675</v>
      </c>
      <c r="AC211" s="453" t="s">
        <v>674</v>
      </c>
      <c r="AD211" s="453" t="s">
        <v>662</v>
      </c>
      <c r="AE211" s="453" t="s">
        <v>668</v>
      </c>
      <c r="AH211" s="461" t="s">
        <v>690</v>
      </c>
      <c r="AI211" s="461"/>
      <c r="AJ211" s="461"/>
      <c r="AK211" s="461"/>
      <c r="AL211" s="461"/>
      <c r="AM211" s="461"/>
      <c r="AN211" s="461"/>
      <c r="AO211" s="461"/>
    </row>
    <row r="212" spans="26:41" ht="42.75">
      <c r="Z212" s="561"/>
      <c r="AA212" s="455"/>
      <c r="AB212" s="459"/>
      <c r="AC212" s="455"/>
      <c r="AD212" s="455"/>
      <c r="AE212" s="455"/>
      <c r="AH212" s="461" t="s">
        <v>689</v>
      </c>
      <c r="AI212" s="461"/>
      <c r="AJ212" s="461"/>
      <c r="AK212" s="461"/>
      <c r="AL212" s="461"/>
      <c r="AM212" s="461"/>
      <c r="AN212" s="461"/>
      <c r="AO212" s="461"/>
    </row>
    <row r="213" spans="26:41" ht="28.5">
      <c r="AH213" s="461" t="s">
        <v>688</v>
      </c>
      <c r="AI213" s="461"/>
      <c r="AJ213" s="461"/>
      <c r="AK213" s="461"/>
      <c r="AL213" s="461"/>
      <c r="AM213" s="461"/>
      <c r="AN213" s="461"/>
      <c r="AO213" s="461"/>
    </row>
    <row r="214" spans="26:41" ht="90">
      <c r="Z214" s="452" t="s">
        <v>806</v>
      </c>
      <c r="AA214" s="452" t="s">
        <v>807</v>
      </c>
      <c r="AB214" s="453" t="s">
        <v>675</v>
      </c>
      <c r="AC214" s="453" t="s">
        <v>676</v>
      </c>
      <c r="AD214" s="453" t="s">
        <v>664</v>
      </c>
      <c r="AE214" s="453" t="s">
        <v>668</v>
      </c>
      <c r="AH214" s="461" t="s">
        <v>687</v>
      </c>
      <c r="AI214" s="461"/>
      <c r="AJ214" s="461"/>
      <c r="AK214" s="461"/>
      <c r="AL214" s="461"/>
      <c r="AM214" s="461"/>
      <c r="AN214" s="461"/>
      <c r="AO214" s="461"/>
    </row>
    <row r="215" spans="26:41" ht="57">
      <c r="Z215" s="561"/>
      <c r="AA215" s="455"/>
      <c r="AB215" s="459"/>
      <c r="AC215" s="455"/>
      <c r="AD215" s="455"/>
      <c r="AE215" s="455"/>
      <c r="AH215" s="461" t="s">
        <v>686</v>
      </c>
      <c r="AI215" s="461"/>
      <c r="AJ215" s="461"/>
      <c r="AK215" s="461"/>
      <c r="AL215" s="461"/>
      <c r="AM215" s="461"/>
      <c r="AN215" s="461"/>
      <c r="AO215" s="461"/>
    </row>
    <row r="217" spans="26:41" ht="90">
      <c r="Z217" s="452" t="s">
        <v>806</v>
      </c>
      <c r="AA217" s="452" t="s">
        <v>807</v>
      </c>
      <c r="AB217" s="453" t="s">
        <v>675</v>
      </c>
      <c r="AC217" s="453" t="s">
        <v>677</v>
      </c>
      <c r="AD217" s="453" t="s">
        <v>666</v>
      </c>
      <c r="AE217" s="453" t="s">
        <v>668</v>
      </c>
    </row>
    <row r="218" spans="26:41" ht="18">
      <c r="Z218" s="561"/>
      <c r="AA218" s="455"/>
      <c r="AB218" s="459"/>
      <c r="AC218" s="455"/>
      <c r="AD218" s="455"/>
      <c r="AE218" s="455"/>
    </row>
  </sheetData>
  <autoFilter ref="A6:BB185" xr:uid="{00000000-0001-0000-0100-000000000000}">
    <filterColumn colId="0" showButton="0"/>
    <filterColumn colId="1" showButton="0"/>
    <filterColumn colId="2" showButton="0"/>
    <filterColumn colId="4" showButton="0"/>
    <filterColumn colId="5" showButton="0"/>
    <filterColumn colId="6" showButton="0"/>
    <filterColumn colId="9" showButton="0"/>
    <filterColumn colId="10" showButton="0"/>
    <filterColumn colId="11" showButton="0"/>
    <filterColumn colId="22" showButton="0"/>
    <filterColumn colId="23" showButton="0"/>
    <filterColumn colId="24" showButton="0"/>
    <filterColumn colId="26" showButton="0"/>
    <filterColumn colId="27" showButton="0"/>
    <filterColumn colId="28" showButton="0"/>
    <filterColumn colId="29" showButton="0"/>
    <filterColumn colId="30" showButton="0"/>
    <filterColumn colId="31" showButton="0"/>
  </autoFilter>
  <mergeCells count="529">
    <mergeCell ref="K163:K164"/>
    <mergeCell ref="M159:M162"/>
    <mergeCell ref="L163:L164"/>
    <mergeCell ref="M163:M164"/>
    <mergeCell ref="N163:N164"/>
    <mergeCell ref="K165:K171"/>
    <mergeCell ref="K133:K135"/>
    <mergeCell ref="X154:X156"/>
    <mergeCell ref="O149:O151"/>
    <mergeCell ref="K136:K137"/>
    <mergeCell ref="K143:K146"/>
    <mergeCell ref="K154:K156"/>
    <mergeCell ref="W154:W156"/>
    <mergeCell ref="N133:N138"/>
    <mergeCell ref="N141:N142"/>
    <mergeCell ref="N139:N140"/>
    <mergeCell ref="M154:M156"/>
    <mergeCell ref="Z154:Z158"/>
    <mergeCell ref="Y154:Y158"/>
    <mergeCell ref="X104:X110"/>
    <mergeCell ref="W159:W171"/>
    <mergeCell ref="X159:X171"/>
    <mergeCell ref="Y159:Y171"/>
    <mergeCell ref="Z159:Z171"/>
    <mergeCell ref="L165:L171"/>
    <mergeCell ref="M165:M171"/>
    <mergeCell ref="N165:N169"/>
    <mergeCell ref="O139:O140"/>
    <mergeCell ref="O133:O138"/>
    <mergeCell ref="M141:M142"/>
    <mergeCell ref="M147:M153"/>
    <mergeCell ref="M136:M137"/>
    <mergeCell ref="M143:M146"/>
    <mergeCell ref="L154:L156"/>
    <mergeCell ref="L141:L142"/>
    <mergeCell ref="L136:L137"/>
    <mergeCell ref="M104:M105"/>
    <mergeCell ref="Y122:Y126"/>
    <mergeCell ref="Z122:Z126"/>
    <mergeCell ref="W127:W132"/>
    <mergeCell ref="O127:O132"/>
    <mergeCell ref="G143:G144"/>
    <mergeCell ref="H143:H144"/>
    <mergeCell ref="L106:L107"/>
    <mergeCell ref="M106:M107"/>
    <mergeCell ref="C111:C121"/>
    <mergeCell ref="D111:D121"/>
    <mergeCell ref="E111:E121"/>
    <mergeCell ref="F111:F121"/>
    <mergeCell ref="G111:G121"/>
    <mergeCell ref="H111:H121"/>
    <mergeCell ref="I111:I121"/>
    <mergeCell ref="M111:M113"/>
    <mergeCell ref="L111:L113"/>
    <mergeCell ref="K111:K113"/>
    <mergeCell ref="C143:C153"/>
    <mergeCell ref="C133:C142"/>
    <mergeCell ref="C127:C132"/>
    <mergeCell ref="M133:M135"/>
    <mergeCell ref="J147:J153"/>
    <mergeCell ref="K147:K153"/>
    <mergeCell ref="J133:J135"/>
    <mergeCell ref="D122:D126"/>
    <mergeCell ref="G122:G123"/>
    <mergeCell ref="D143:D153"/>
    <mergeCell ref="Q191:R191"/>
    <mergeCell ref="AO206:AO207"/>
    <mergeCell ref="A159:A171"/>
    <mergeCell ref="B159:B171"/>
    <mergeCell ref="K159:K162"/>
    <mergeCell ref="L159:L162"/>
    <mergeCell ref="J163:J164"/>
    <mergeCell ref="A172:A185"/>
    <mergeCell ref="O170:O171"/>
    <mergeCell ref="O165:O169"/>
    <mergeCell ref="P196:P199"/>
    <mergeCell ref="J202:J205"/>
    <mergeCell ref="O161:O162"/>
    <mergeCell ref="C159:C171"/>
    <mergeCell ref="J159:J162"/>
    <mergeCell ref="H159:H171"/>
    <mergeCell ref="G159:G171"/>
    <mergeCell ref="E159:E171"/>
    <mergeCell ref="AJ206:AK206"/>
    <mergeCell ref="AI206:AI207"/>
    <mergeCell ref="AL206:AL207"/>
    <mergeCell ref="AM206:AM207"/>
    <mergeCell ref="AN206:AN207"/>
    <mergeCell ref="AH206:AH207"/>
    <mergeCell ref="A154:A158"/>
    <mergeCell ref="B154:B158"/>
    <mergeCell ref="A133:A153"/>
    <mergeCell ref="B133:B153"/>
    <mergeCell ref="A56:A108"/>
    <mergeCell ref="B56:B108"/>
    <mergeCell ref="J141:J142"/>
    <mergeCell ref="K141:K142"/>
    <mergeCell ref="J86:J87"/>
    <mergeCell ref="K80:K81"/>
    <mergeCell ref="I154:I156"/>
    <mergeCell ref="C154:C156"/>
    <mergeCell ref="D154:D156"/>
    <mergeCell ref="C157:C158"/>
    <mergeCell ref="D157:D158"/>
    <mergeCell ref="I157:I158"/>
    <mergeCell ref="K69:K70"/>
    <mergeCell ref="K71:K73"/>
    <mergeCell ref="K74:K75"/>
    <mergeCell ref="K88:K89"/>
    <mergeCell ref="K90:K91"/>
    <mergeCell ref="K82:K83"/>
    <mergeCell ref="K62:K63"/>
    <mergeCell ref="K64:K68"/>
    <mergeCell ref="A1:A3"/>
    <mergeCell ref="A110:A132"/>
    <mergeCell ref="B110:B132"/>
    <mergeCell ref="J64:J68"/>
    <mergeCell ref="J69:J70"/>
    <mergeCell ref="J74:J75"/>
    <mergeCell ref="J76:J77"/>
    <mergeCell ref="J78:J79"/>
    <mergeCell ref="J80:J81"/>
    <mergeCell ref="J82:J83"/>
    <mergeCell ref="J71:J73"/>
    <mergeCell ref="B3:AT3"/>
    <mergeCell ref="O30:O32"/>
    <mergeCell ref="J17:J18"/>
    <mergeCell ref="K17:K18"/>
    <mergeCell ref="L17:L18"/>
    <mergeCell ref="O26:O27"/>
    <mergeCell ref="C40:C55"/>
    <mergeCell ref="K102:K103"/>
    <mergeCell ref="L102:L103"/>
    <mergeCell ref="K104:K105"/>
    <mergeCell ref="L104:L105"/>
    <mergeCell ref="J38:J39"/>
    <mergeCell ref="K38:K39"/>
    <mergeCell ref="O24:O25"/>
    <mergeCell ref="L38:L39"/>
    <mergeCell ref="M30:M31"/>
    <mergeCell ref="N28:N29"/>
    <mergeCell ref="N30:N31"/>
    <mergeCell ref="N24:N25"/>
    <mergeCell ref="N26:N27"/>
    <mergeCell ref="AU17:AU19"/>
    <mergeCell ref="Y17:Y20"/>
    <mergeCell ref="Z17:Z20"/>
    <mergeCell ref="AS17:AS18"/>
    <mergeCell ref="AT17:AT18"/>
    <mergeCell ref="AS19:AS20"/>
    <mergeCell ref="AT19:AT20"/>
    <mergeCell ref="W21:W39"/>
    <mergeCell ref="X21:X39"/>
    <mergeCell ref="Y21:Y39"/>
    <mergeCell ref="Z21:Z39"/>
    <mergeCell ref="AU21:AU39"/>
    <mergeCell ref="K94:K101"/>
    <mergeCell ref="J104:J105"/>
    <mergeCell ref="J106:J107"/>
    <mergeCell ref="J111:J113"/>
    <mergeCell ref="J115:J121"/>
    <mergeCell ref="K115:K121"/>
    <mergeCell ref="L115:L121"/>
    <mergeCell ref="M21:M23"/>
    <mergeCell ref="N21:N23"/>
    <mergeCell ref="M38:M39"/>
    <mergeCell ref="J24:J25"/>
    <mergeCell ref="K24:K25"/>
    <mergeCell ref="L24:L25"/>
    <mergeCell ref="M24:M25"/>
    <mergeCell ref="J30:J31"/>
    <mergeCell ref="K30:K31"/>
    <mergeCell ref="L30:L31"/>
    <mergeCell ref="K46:K47"/>
    <mergeCell ref="L46:L47"/>
    <mergeCell ref="J41:J44"/>
    <mergeCell ref="K41:K44"/>
    <mergeCell ref="L41:L44"/>
    <mergeCell ref="M46:M47"/>
    <mergeCell ref="M41:M44"/>
    <mergeCell ref="D159:D171"/>
    <mergeCell ref="J165:J171"/>
    <mergeCell ref="E139:E142"/>
    <mergeCell ref="D133:D142"/>
    <mergeCell ref="I141:I142"/>
    <mergeCell ref="J136:J137"/>
    <mergeCell ref="J143:J146"/>
    <mergeCell ref="I133:I140"/>
    <mergeCell ref="E133:E138"/>
    <mergeCell ref="F133:F138"/>
    <mergeCell ref="I143:I146"/>
    <mergeCell ref="F139:F142"/>
    <mergeCell ref="G139:G142"/>
    <mergeCell ref="H139:H142"/>
    <mergeCell ref="H133:H138"/>
    <mergeCell ref="F159:F171"/>
    <mergeCell ref="I159:I171"/>
    <mergeCell ref="J154:J156"/>
    <mergeCell ref="E157:E158"/>
    <mergeCell ref="F157:F158"/>
    <mergeCell ref="E146:E153"/>
    <mergeCell ref="E143:E144"/>
    <mergeCell ref="F146:F153"/>
    <mergeCell ref="F143:F144"/>
    <mergeCell ref="D17:D20"/>
    <mergeCell ref="AV1:AZ1"/>
    <mergeCell ref="A5:AT5"/>
    <mergeCell ref="G13:G16"/>
    <mergeCell ref="H13:H16"/>
    <mergeCell ref="I13:I16"/>
    <mergeCell ref="N8:N11"/>
    <mergeCell ref="N6:N7"/>
    <mergeCell ref="O6:O7"/>
    <mergeCell ref="A6:D6"/>
    <mergeCell ref="E6:H6"/>
    <mergeCell ref="D8:D11"/>
    <mergeCell ref="C8:C11"/>
    <mergeCell ref="J9:J10"/>
    <mergeCell ref="K9:K10"/>
    <mergeCell ref="L9:L10"/>
    <mergeCell ref="M9:M10"/>
    <mergeCell ref="AU8:AU11"/>
    <mergeCell ref="AU13:AU16"/>
    <mergeCell ref="AA6:AG6"/>
    <mergeCell ref="B1:AT1"/>
    <mergeCell ref="B8:B19"/>
    <mergeCell ref="A8:A19"/>
    <mergeCell ref="O17:O18"/>
    <mergeCell ref="J26:J27"/>
    <mergeCell ref="L133:L135"/>
    <mergeCell ref="L147:L153"/>
    <mergeCell ref="L143:L146"/>
    <mergeCell ref="B2:AT2"/>
    <mergeCell ref="A4:AT4"/>
    <mergeCell ref="C13:C16"/>
    <mergeCell ref="D13:D16"/>
    <mergeCell ref="I8:I11"/>
    <mergeCell ref="C17:C19"/>
    <mergeCell ref="A21:A55"/>
    <mergeCell ref="F53:F55"/>
    <mergeCell ref="G53:G55"/>
    <mergeCell ref="I53:I54"/>
    <mergeCell ref="H53:H55"/>
    <mergeCell ref="D41:D55"/>
    <mergeCell ref="E53:E55"/>
    <mergeCell ref="E21:E23"/>
    <mergeCell ref="F21:F23"/>
    <mergeCell ref="C21:C39"/>
    <mergeCell ref="B21:B55"/>
    <mergeCell ref="I21:I33"/>
    <mergeCell ref="I36:I39"/>
    <mergeCell ref="E29:E39"/>
    <mergeCell ref="J90:J91"/>
    <mergeCell ref="L71:L73"/>
    <mergeCell ref="K76:K77"/>
    <mergeCell ref="L82:L83"/>
    <mergeCell ref="AS186:AT186"/>
    <mergeCell ref="AT6:AT7"/>
    <mergeCell ref="S6:S7"/>
    <mergeCell ref="T6:T7"/>
    <mergeCell ref="J6:M6"/>
    <mergeCell ref="P6:P7"/>
    <mergeCell ref="Q6:Q7"/>
    <mergeCell ref="U6:U7"/>
    <mergeCell ref="V6:V7"/>
    <mergeCell ref="W6:Z6"/>
    <mergeCell ref="AS6:AS7"/>
    <mergeCell ref="R6:R7"/>
    <mergeCell ref="L26:L27"/>
    <mergeCell ref="M26:M27"/>
    <mergeCell ref="O13:O16"/>
    <mergeCell ref="N13:N16"/>
    <mergeCell ref="O183:O185"/>
    <mergeCell ref="O176:O182"/>
    <mergeCell ref="M17:M18"/>
    <mergeCell ref="N17:N18"/>
    <mergeCell ref="D102:D108"/>
    <mergeCell ref="J102:J103"/>
    <mergeCell ref="E127:E131"/>
    <mergeCell ref="F127:F131"/>
    <mergeCell ref="E40:E47"/>
    <mergeCell ref="F40:F47"/>
    <mergeCell ref="D127:D132"/>
    <mergeCell ref="I56:I69"/>
    <mergeCell ref="I48:I52"/>
    <mergeCell ref="J48:J52"/>
    <mergeCell ref="J56:J61"/>
    <mergeCell ref="J46:J47"/>
    <mergeCell ref="J94:J101"/>
    <mergeCell ref="I40:I47"/>
    <mergeCell ref="G127:G131"/>
    <mergeCell ref="H127:H131"/>
    <mergeCell ref="I127:I132"/>
    <mergeCell ref="H124:H126"/>
    <mergeCell ref="H75:H89"/>
    <mergeCell ref="E90:E93"/>
    <mergeCell ref="F90:F93"/>
    <mergeCell ref="G90:G93"/>
    <mergeCell ref="H90:H93"/>
    <mergeCell ref="J84:J85"/>
    <mergeCell ref="C122:C126"/>
    <mergeCell ref="C102:C108"/>
    <mergeCell ref="G56:G69"/>
    <mergeCell ref="H56:H69"/>
    <mergeCell ref="E94:E101"/>
    <mergeCell ref="F94:F101"/>
    <mergeCell ref="E105:E106"/>
    <mergeCell ref="F105:F106"/>
    <mergeCell ref="H105:H106"/>
    <mergeCell ref="E56:E69"/>
    <mergeCell ref="H122:H123"/>
    <mergeCell ref="E122:E123"/>
    <mergeCell ref="F122:F123"/>
    <mergeCell ref="E124:E126"/>
    <mergeCell ref="F124:F126"/>
    <mergeCell ref="G75:G89"/>
    <mergeCell ref="G105:G106"/>
    <mergeCell ref="G94:G101"/>
    <mergeCell ref="H94:H101"/>
    <mergeCell ref="D56:D101"/>
    <mergeCell ref="F56:F69"/>
    <mergeCell ref="E75:E89"/>
    <mergeCell ref="F75:F89"/>
    <mergeCell ref="G124:G126"/>
    <mergeCell ref="C56:C101"/>
    <mergeCell ref="D21:D39"/>
    <mergeCell ref="G21:G23"/>
    <mergeCell ref="H21:H23"/>
    <mergeCell ref="G24:G25"/>
    <mergeCell ref="H24:H25"/>
    <mergeCell ref="E48:E52"/>
    <mergeCell ref="F48:F52"/>
    <mergeCell ref="G48:G52"/>
    <mergeCell ref="H48:H52"/>
    <mergeCell ref="F29:F39"/>
    <mergeCell ref="G29:G39"/>
    <mergeCell ref="H29:H39"/>
    <mergeCell ref="I34:I35"/>
    <mergeCell ref="E26:E27"/>
    <mergeCell ref="F26:F27"/>
    <mergeCell ref="G26:G27"/>
    <mergeCell ref="H26:H27"/>
    <mergeCell ref="O8:O11"/>
    <mergeCell ref="E8:E9"/>
    <mergeCell ref="F8:F9"/>
    <mergeCell ref="G8:G9"/>
    <mergeCell ref="H8:H9"/>
    <mergeCell ref="I17:I19"/>
    <mergeCell ref="O28:O29"/>
    <mergeCell ref="E13:E16"/>
    <mergeCell ref="F13:F16"/>
    <mergeCell ref="F17:F19"/>
    <mergeCell ref="G17:G19"/>
    <mergeCell ref="H17:H19"/>
    <mergeCell ref="K26:K27"/>
    <mergeCell ref="J21:J23"/>
    <mergeCell ref="K21:K23"/>
    <mergeCell ref="L21:L23"/>
    <mergeCell ref="F24:F25"/>
    <mergeCell ref="E24:E25"/>
    <mergeCell ref="O21:O23"/>
    <mergeCell ref="B172:B185"/>
    <mergeCell ref="C172:C173"/>
    <mergeCell ref="E176:E182"/>
    <mergeCell ref="F176:F182"/>
    <mergeCell ref="G176:G182"/>
    <mergeCell ref="H176:H182"/>
    <mergeCell ref="I174:I182"/>
    <mergeCell ref="D174:D182"/>
    <mergeCell ref="C174:C182"/>
    <mergeCell ref="D172:D173"/>
    <mergeCell ref="I172:I173"/>
    <mergeCell ref="I183:I185"/>
    <mergeCell ref="E184:E185"/>
    <mergeCell ref="D183:D185"/>
    <mergeCell ref="C183:C185"/>
    <mergeCell ref="F184:F185"/>
    <mergeCell ref="G184:G185"/>
    <mergeCell ref="H184:H185"/>
    <mergeCell ref="G157:G158"/>
    <mergeCell ref="I147:I153"/>
    <mergeCell ref="H157:H158"/>
    <mergeCell ref="K84:K85"/>
    <mergeCell ref="L84:L85"/>
    <mergeCell ref="K86:K87"/>
    <mergeCell ref="L86:L87"/>
    <mergeCell ref="L80:L81"/>
    <mergeCell ref="G40:G47"/>
    <mergeCell ref="H40:H47"/>
    <mergeCell ref="G146:G153"/>
    <mergeCell ref="H146:H153"/>
    <mergeCell ref="L94:L101"/>
    <mergeCell ref="J62:J63"/>
    <mergeCell ref="G133:G138"/>
    <mergeCell ref="I94:I101"/>
    <mergeCell ref="I122:I126"/>
    <mergeCell ref="K48:K52"/>
    <mergeCell ref="K56:K61"/>
    <mergeCell ref="L56:L61"/>
    <mergeCell ref="J92:J93"/>
    <mergeCell ref="K92:K93"/>
    <mergeCell ref="L92:L93"/>
    <mergeCell ref="J88:J89"/>
    <mergeCell ref="O42:O47"/>
    <mergeCell ref="X56:X61"/>
    <mergeCell ref="Y56:Y61"/>
    <mergeCell ref="Z56:Z61"/>
    <mergeCell ref="AU113:AU121"/>
    <mergeCell ref="O106:O107"/>
    <mergeCell ref="O124:O125"/>
    <mergeCell ref="W40:W55"/>
    <mergeCell ref="X40:X55"/>
    <mergeCell ref="Y40:Y55"/>
    <mergeCell ref="Z40:Z55"/>
    <mergeCell ref="AU127:AU132"/>
    <mergeCell ref="AU122:AU126"/>
    <mergeCell ref="AU41:AU55"/>
    <mergeCell ref="W111:W121"/>
    <mergeCell ref="X111:X121"/>
    <mergeCell ref="Z111:Z121"/>
    <mergeCell ref="W122:W126"/>
    <mergeCell ref="X122:X126"/>
    <mergeCell ref="X127:X132"/>
    <mergeCell ref="Y127:Y132"/>
    <mergeCell ref="Z127:Z132"/>
    <mergeCell ref="AU105:AU108"/>
    <mergeCell ref="AU57:AU102"/>
    <mergeCell ref="X94:X97"/>
    <mergeCell ref="Y94:Y97"/>
    <mergeCell ref="Z94:Z97"/>
    <mergeCell ref="W62:W93"/>
    <mergeCell ref="X62:X93"/>
    <mergeCell ref="Y62:Y93"/>
    <mergeCell ref="Z62:Z93"/>
    <mergeCell ref="W94:W97"/>
    <mergeCell ref="W56:W61"/>
    <mergeCell ref="AU172:AU185"/>
    <mergeCell ref="AU159:AU171"/>
    <mergeCell ref="O163:O164"/>
    <mergeCell ref="O159:O160"/>
    <mergeCell ref="O157:O158"/>
    <mergeCell ref="O154:O156"/>
    <mergeCell ref="O144:O146"/>
    <mergeCell ref="W133:W141"/>
    <mergeCell ref="X133:X141"/>
    <mergeCell ref="Y133:Y141"/>
    <mergeCell ref="Z133:Z141"/>
    <mergeCell ref="W142:W153"/>
    <mergeCell ref="AU154:AU158"/>
    <mergeCell ref="AU143:AU153"/>
    <mergeCell ref="AU133:AU142"/>
    <mergeCell ref="O141:O142"/>
    <mergeCell ref="O147:O148"/>
    <mergeCell ref="W172:W185"/>
    <mergeCell ref="X172:X185"/>
    <mergeCell ref="Y172:Y185"/>
    <mergeCell ref="Z172:Z185"/>
    <mergeCell ref="X142:X153"/>
    <mergeCell ref="Y142:Y153"/>
    <mergeCell ref="Z142:Z153"/>
    <mergeCell ref="N48:N52"/>
    <mergeCell ref="O48:O52"/>
    <mergeCell ref="L48:L52"/>
    <mergeCell ref="M48:M52"/>
    <mergeCell ref="M74:M75"/>
    <mergeCell ref="L88:L89"/>
    <mergeCell ref="L62:L63"/>
    <mergeCell ref="M62:M63"/>
    <mergeCell ref="O56:O70"/>
    <mergeCell ref="M64:M68"/>
    <mergeCell ref="M82:M83"/>
    <mergeCell ref="M84:M85"/>
    <mergeCell ref="M86:M87"/>
    <mergeCell ref="M80:M81"/>
    <mergeCell ref="M78:M79"/>
    <mergeCell ref="L69:L70"/>
    <mergeCell ref="M69:M70"/>
    <mergeCell ref="L64:L68"/>
    <mergeCell ref="M71:M73"/>
    <mergeCell ref="L74:L75"/>
    <mergeCell ref="M56:M61"/>
    <mergeCell ref="O53:O54"/>
    <mergeCell ref="L78:L79"/>
    <mergeCell ref="N111:N113"/>
    <mergeCell ref="N114:N121"/>
    <mergeCell ref="O114:O121"/>
    <mergeCell ref="O111:O113"/>
    <mergeCell ref="O122:O123"/>
    <mergeCell ref="M90:M91"/>
    <mergeCell ref="M115:M121"/>
    <mergeCell ref="M76:M77"/>
    <mergeCell ref="L76:L77"/>
    <mergeCell ref="M88:M89"/>
    <mergeCell ref="L90:L91"/>
    <mergeCell ref="M92:M93"/>
    <mergeCell ref="W8:W11"/>
    <mergeCell ref="X8:X11"/>
    <mergeCell ref="Y8:Y11"/>
    <mergeCell ref="Z8:Z11"/>
    <mergeCell ref="X12:X16"/>
    <mergeCell ref="Y12:Y16"/>
    <mergeCell ref="Z12:Z16"/>
    <mergeCell ref="W14:W16"/>
    <mergeCell ref="X17:X20"/>
    <mergeCell ref="W17:W20"/>
    <mergeCell ref="V128:V129"/>
    <mergeCell ref="N127:N132"/>
    <mergeCell ref="N106:N107"/>
    <mergeCell ref="K78:K79"/>
    <mergeCell ref="I72:I93"/>
    <mergeCell ref="Y111:Y121"/>
    <mergeCell ref="Y104:Y110"/>
    <mergeCell ref="I108:I109"/>
    <mergeCell ref="J108:J109"/>
    <mergeCell ref="K108:K109"/>
    <mergeCell ref="L108:L109"/>
    <mergeCell ref="M108:M109"/>
    <mergeCell ref="M94:M101"/>
    <mergeCell ref="M102:M103"/>
    <mergeCell ref="N71:N93"/>
    <mergeCell ref="O71:O93"/>
    <mergeCell ref="O94:O101"/>
    <mergeCell ref="N94:N101"/>
    <mergeCell ref="N102:N103"/>
    <mergeCell ref="O102:O103"/>
    <mergeCell ref="N104:N105"/>
    <mergeCell ref="O104:O105"/>
    <mergeCell ref="N122:N123"/>
    <mergeCell ref="N124:N125"/>
  </mergeCells>
  <pageMargins left="0.7" right="0.7" top="0.75" bottom="0.75" header="0.3" footer="0.3"/>
  <pageSetup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79DB8-4F93-44C9-84F0-48033007C92B}">
  <dimension ref="A1:P30"/>
  <sheetViews>
    <sheetView workbookViewId="0">
      <selection activeCell="B22" sqref="B22"/>
    </sheetView>
  </sheetViews>
  <sheetFormatPr baseColWidth="10" defaultRowHeight="15"/>
  <cols>
    <col min="1" max="1" width="16.28515625" customWidth="1"/>
    <col min="2" max="4" width="19.42578125" customWidth="1"/>
    <col min="5" max="6" width="21.7109375" customWidth="1"/>
    <col min="7" max="7" width="32.28515625" bestFit="1" customWidth="1"/>
    <col min="8" max="8" width="26.42578125" customWidth="1"/>
    <col min="9" max="9" width="29" bestFit="1" customWidth="1"/>
    <col min="10" max="10" width="25.85546875" bestFit="1" customWidth="1"/>
    <col min="11" max="11" width="27" bestFit="1" customWidth="1"/>
    <col min="12" max="15" width="19.140625" customWidth="1"/>
  </cols>
  <sheetData>
    <row r="1" spans="1:16">
      <c r="A1" s="997" t="s">
        <v>655</v>
      </c>
      <c r="B1" s="998"/>
      <c r="C1" s="998"/>
      <c r="D1" s="998"/>
      <c r="E1" s="998"/>
      <c r="F1" s="998"/>
      <c r="G1" s="998"/>
      <c r="H1" s="998"/>
      <c r="I1" s="998"/>
      <c r="J1" s="998"/>
      <c r="K1" s="998"/>
      <c r="L1" s="998"/>
      <c r="M1" s="998"/>
      <c r="N1" s="998"/>
      <c r="O1" s="998"/>
      <c r="P1" s="999"/>
    </row>
    <row r="2" spans="1:16" ht="15.75" thickBot="1">
      <c r="A2" s="1000"/>
      <c r="B2" s="1001"/>
      <c r="C2" s="1001"/>
      <c r="D2" s="1001"/>
      <c r="E2" s="1001"/>
      <c r="F2" s="1001"/>
      <c r="G2" s="1001"/>
      <c r="H2" s="1001"/>
      <c r="I2" s="1001"/>
      <c r="J2" s="1001"/>
      <c r="K2" s="1001"/>
      <c r="L2" s="1001"/>
      <c r="M2" s="1001"/>
      <c r="N2" s="1001"/>
      <c r="O2" s="1001"/>
      <c r="P2" s="1002"/>
    </row>
    <row r="3" spans="1:16">
      <c r="A3" s="1003" t="s">
        <v>656</v>
      </c>
      <c r="B3" s="1004"/>
      <c r="C3" s="1004"/>
      <c r="D3" s="1004"/>
      <c r="E3" s="1004"/>
      <c r="F3" s="1004"/>
      <c r="G3" s="1004"/>
      <c r="H3" s="1004"/>
      <c r="I3" s="1004"/>
      <c r="J3" s="1004"/>
      <c r="K3" s="1004"/>
      <c r="L3" s="1004"/>
      <c r="M3" s="1004"/>
      <c r="N3" s="1004"/>
      <c r="O3" s="1004"/>
      <c r="P3" s="1005"/>
    </row>
    <row r="4" spans="1:16">
      <c r="A4" s="1008" t="s">
        <v>639</v>
      </c>
      <c r="B4" s="1010" t="s">
        <v>652</v>
      </c>
      <c r="C4" s="1010"/>
      <c r="D4" s="1010"/>
      <c r="E4" s="1009" t="s">
        <v>640</v>
      </c>
      <c r="F4" s="1009"/>
      <c r="G4" s="1009"/>
      <c r="H4" s="994" t="s">
        <v>641</v>
      </c>
      <c r="I4" s="995"/>
      <c r="J4" s="1013"/>
      <c r="K4" s="1009" t="s">
        <v>642</v>
      </c>
      <c r="L4" s="1009"/>
      <c r="M4" s="1009"/>
      <c r="N4" s="994" t="s">
        <v>643</v>
      </c>
      <c r="O4" s="995"/>
      <c r="P4" s="996"/>
    </row>
    <row r="5" spans="1:16">
      <c r="A5" s="1008"/>
      <c r="B5" s="388" t="s">
        <v>599</v>
      </c>
      <c r="C5" s="388" t="s">
        <v>18</v>
      </c>
      <c r="D5" s="388" t="s">
        <v>86</v>
      </c>
      <c r="E5" s="388" t="s">
        <v>599</v>
      </c>
      <c r="F5" s="388" t="s">
        <v>18</v>
      </c>
      <c r="G5" s="388" t="s">
        <v>86</v>
      </c>
      <c r="H5" s="388" t="s">
        <v>599</v>
      </c>
      <c r="I5" s="388" t="s">
        <v>18</v>
      </c>
      <c r="J5" s="388" t="s">
        <v>86</v>
      </c>
      <c r="K5" s="388" t="s">
        <v>599</v>
      </c>
      <c r="L5" s="388" t="s">
        <v>18</v>
      </c>
      <c r="M5" s="388" t="s">
        <v>86</v>
      </c>
      <c r="N5" s="388" t="s">
        <v>599</v>
      </c>
      <c r="O5" s="389" t="s">
        <v>18</v>
      </c>
      <c r="P5" s="391" t="s">
        <v>86</v>
      </c>
    </row>
    <row r="6" spans="1:16">
      <c r="A6" s="390" t="s">
        <v>644</v>
      </c>
      <c r="B6" s="397">
        <f>'LINEA 1	SEGUIMIENTO DEL PLAN OP'!B59</f>
        <v>51</v>
      </c>
      <c r="C6" s="396">
        <f>'LINEA 1	SEGUIMIENTO DEL PLAN OP'!B60</f>
        <v>1</v>
      </c>
      <c r="D6" s="406">
        <v>0</v>
      </c>
      <c r="E6" s="387">
        <f>'LINEA 1	SEGUIMIENTO DEL PLAN OP'!C59</f>
        <v>0</v>
      </c>
      <c r="F6" s="394">
        <f>'LINEA 1	SEGUIMIENTO DEL PLAN OP'!C60</f>
        <v>0</v>
      </c>
      <c r="G6" s="406">
        <v>0</v>
      </c>
      <c r="H6" s="387">
        <f>'LINEA 1	SEGUIMIENTO DEL PLAN OP'!E59</f>
        <v>0</v>
      </c>
      <c r="I6" s="395">
        <f>'LINEA 1	SEGUIMIENTO DEL PLAN OP'!E60</f>
        <v>0</v>
      </c>
      <c r="J6" s="406">
        <v>0</v>
      </c>
      <c r="K6" s="387">
        <f>'LINEA 1	SEGUIMIENTO DEL PLAN OP'!G59</f>
        <v>0</v>
      </c>
      <c r="L6" s="395">
        <f>'LINEA 1	SEGUIMIENTO DEL PLAN OP'!G60</f>
        <v>0</v>
      </c>
      <c r="M6" s="406">
        <v>0</v>
      </c>
      <c r="N6" s="387">
        <f>'LINEA 1	SEGUIMIENTO DEL PLAN OP'!N59</f>
        <v>0</v>
      </c>
      <c r="O6" s="399">
        <f>'LINEA 1	SEGUIMIENTO DEL PLAN OP'!N60</f>
        <v>0</v>
      </c>
      <c r="P6" s="410">
        <v>0</v>
      </c>
    </row>
    <row r="7" spans="1:16">
      <c r="A7" s="390" t="s">
        <v>645</v>
      </c>
      <c r="B7" s="397">
        <f>'LINEA 2 SEGUIMIENTO DEL POAI'!B77</f>
        <v>374</v>
      </c>
      <c r="C7" s="396">
        <f>'LINEA 2 SEGUIMIENTO DEL POAI'!B78</f>
        <v>1</v>
      </c>
      <c r="D7" s="406">
        <v>0</v>
      </c>
      <c r="E7" s="387">
        <f>'LINEA 2 SEGUIMIENTO DEL POAI'!C77</f>
        <v>0</v>
      </c>
      <c r="F7" s="394">
        <f>'LINEA 2 SEGUIMIENTO DEL POAI'!C78</f>
        <v>0</v>
      </c>
      <c r="G7" s="406">
        <v>0</v>
      </c>
      <c r="H7" s="387">
        <f>'LINEA 2 SEGUIMIENTO DEL POAI'!E77</f>
        <v>0</v>
      </c>
      <c r="I7" s="394">
        <f>'LINEA 2 SEGUIMIENTO DEL POAI'!E78</f>
        <v>0</v>
      </c>
      <c r="J7" s="406">
        <v>0</v>
      </c>
      <c r="K7" s="387">
        <f>'LINEA 2 SEGUIMIENTO DEL POAI'!G77</f>
        <v>0</v>
      </c>
      <c r="L7" s="394">
        <f>'LINEA 2 SEGUIMIENTO DEL POAI'!G78</f>
        <v>0</v>
      </c>
      <c r="M7" s="406">
        <v>0</v>
      </c>
      <c r="N7" s="387">
        <f>'LINEA 2 SEGUIMIENTO DEL POAI'!N77</f>
        <v>0</v>
      </c>
      <c r="O7" s="400">
        <f>'LINEA 2 SEGUIMIENTO DEL POAI'!N78</f>
        <v>0</v>
      </c>
      <c r="P7" s="410">
        <v>0</v>
      </c>
    </row>
    <row r="8" spans="1:16">
      <c r="A8" s="390" t="s">
        <v>646</v>
      </c>
      <c r="B8" s="398">
        <f>'LINEA3 SEGUIMIENTO DE POAI'!B99</f>
        <v>11289</v>
      </c>
      <c r="C8" s="396">
        <f>'LINEA3 SEGUIMIENTO DE POAI'!B100</f>
        <v>1</v>
      </c>
      <c r="D8" s="406">
        <v>0</v>
      </c>
      <c r="E8" s="387">
        <f>'LINEA3 SEGUIMIENTO DE POAI'!C99</f>
        <v>0</v>
      </c>
      <c r="F8" s="394">
        <f>'LINEA3 SEGUIMIENTO DE POAI'!C100</f>
        <v>0</v>
      </c>
      <c r="G8" s="406">
        <v>0</v>
      </c>
      <c r="H8" s="387">
        <f>'LINEA 2 SEGUIMIENTO DEL POAI'!E77</f>
        <v>0</v>
      </c>
      <c r="I8" s="394">
        <f>'LINEA 2 SEGUIMIENTO DEL POAI'!E78</f>
        <v>0</v>
      </c>
      <c r="J8" s="406">
        <v>0</v>
      </c>
      <c r="K8" s="387">
        <f>'LINEA 2 SEGUIMIENTO DEL POAI'!G77</f>
        <v>0</v>
      </c>
      <c r="L8" s="394">
        <f>'LINEA 2 SEGUIMIENTO DEL POAI'!G78</f>
        <v>0</v>
      </c>
      <c r="M8" s="406">
        <v>0</v>
      </c>
      <c r="N8" s="387">
        <f>'LINEA3 SEGUIMIENTO DE POAI'!N99</f>
        <v>0</v>
      </c>
      <c r="O8" s="400">
        <f>'LINEA3 SEGUIMIENTO DE POAI'!N100</f>
        <v>0</v>
      </c>
      <c r="P8" s="410">
        <v>0</v>
      </c>
    </row>
    <row r="9" spans="1:16">
      <c r="A9" s="390" t="s">
        <v>647</v>
      </c>
      <c r="B9" s="397">
        <f>'LINEA 4 SEGUIMIENTO DEL POAI'!B85</f>
        <v>6</v>
      </c>
      <c r="C9" s="396">
        <v>1</v>
      </c>
      <c r="D9" s="393">
        <f>'LINEA 4 SEGUIMIENTO DEL POAI'!B87</f>
        <v>32</v>
      </c>
      <c r="E9" s="387">
        <f>'LINEA 4 SEGUIMIENTO DEL POAI'!C85</f>
        <v>28565648</v>
      </c>
      <c r="F9" s="394">
        <f>'LINEA 4 SEGUIMIENTO DEL POAI'!C86</f>
        <v>451765745</v>
      </c>
      <c r="G9" s="387">
        <f>'LINEA 4 SEGUIMIENTO DEL POAI'!C87</f>
        <v>0</v>
      </c>
      <c r="H9" s="387">
        <f>'LINEA 4 SEGUIMIENTO DEL POAI'!E85</f>
        <v>164648509</v>
      </c>
      <c r="I9" s="394">
        <f>'LINEA 4 SEGUIMIENTO DEL POAI'!E86</f>
        <v>1489430450</v>
      </c>
      <c r="J9" s="387">
        <f>'LINEA 4 SEGUIMIENTO DEL POAI'!E87</f>
        <v>9639442</v>
      </c>
      <c r="K9" s="387">
        <f>'LINEA 4 SEGUIMIENTO DEL POAI'!G85</f>
        <v>0</v>
      </c>
      <c r="L9" s="394">
        <f>'LINEA 4 SEGUIMIENTO DEL POAI'!G86</f>
        <v>0</v>
      </c>
      <c r="M9" s="387">
        <f>'LINEA 4 SEGUIMIENTO DEL POAI'!G87</f>
        <v>0</v>
      </c>
      <c r="N9" s="387">
        <f>'LINEA 4 SEGUIMIENTO DEL POAI'!J85</f>
        <v>0</v>
      </c>
      <c r="O9" s="394">
        <f>'LINEA 4 SEGUIMIENTO DEL POAI'!J86</f>
        <v>0</v>
      </c>
      <c r="P9" s="402">
        <v>0</v>
      </c>
    </row>
    <row r="10" spans="1:16">
      <c r="A10" s="390" t="s">
        <v>648</v>
      </c>
      <c r="B10" s="397">
        <f>'LINEA5 SEGUIMIENTO POAI'!B55</f>
        <v>138</v>
      </c>
      <c r="C10" s="405">
        <v>0</v>
      </c>
      <c r="D10" s="407">
        <v>0</v>
      </c>
      <c r="E10" s="387">
        <f>'LINEA5 SEGUIMIENTO POAI'!C55</f>
        <v>0</v>
      </c>
      <c r="F10" s="404">
        <v>0</v>
      </c>
      <c r="G10" s="406">
        <v>0</v>
      </c>
      <c r="H10" s="387">
        <f>'LINEA5 SEGUIMIENTO POAI'!E55</f>
        <v>0</v>
      </c>
      <c r="I10" s="404">
        <v>0</v>
      </c>
      <c r="J10" s="406">
        <v>0</v>
      </c>
      <c r="K10" s="387">
        <f>'LINEA5 SEGUIMIENTO POAI'!G55</f>
        <v>0</v>
      </c>
      <c r="L10" s="404">
        <v>0</v>
      </c>
      <c r="M10" s="406">
        <v>0</v>
      </c>
      <c r="N10" s="387">
        <f>'LINEA5 SEGUIMIENTO POAI'!N55</f>
        <v>0</v>
      </c>
      <c r="O10" s="404">
        <v>0</v>
      </c>
      <c r="P10" s="410">
        <v>0</v>
      </c>
    </row>
    <row r="11" spans="1:16">
      <c r="A11" s="390" t="s">
        <v>649</v>
      </c>
      <c r="B11" s="397">
        <f>'LINEA 6 SEGUIMIENTO DEL POAI'!B40</f>
        <v>12</v>
      </c>
      <c r="C11" s="405">
        <v>0</v>
      </c>
      <c r="D11" s="407">
        <v>0</v>
      </c>
      <c r="E11" s="387">
        <f>'LINEA 6 SEGUIMIENTO DEL POAI'!C40</f>
        <v>0</v>
      </c>
      <c r="F11" s="404">
        <v>0</v>
      </c>
      <c r="G11" s="406">
        <v>0</v>
      </c>
      <c r="H11" s="387">
        <f>'LINEA 6 SEGUIMIENTO DEL POAI'!E40</f>
        <v>0</v>
      </c>
      <c r="I11" s="404">
        <v>0</v>
      </c>
      <c r="J11" s="406">
        <v>0</v>
      </c>
      <c r="K11" s="387">
        <f>'LINEA 6 SEGUIMIENTO DEL POAI'!G40</f>
        <v>0</v>
      </c>
      <c r="L11" s="404">
        <v>0</v>
      </c>
      <c r="M11" s="406">
        <v>0</v>
      </c>
      <c r="N11" s="387">
        <f>'LINEA 6 SEGUIMIENTO DEL POAI'!N40</f>
        <v>0</v>
      </c>
      <c r="O11" s="404">
        <v>0</v>
      </c>
      <c r="P11" s="410">
        <v>0</v>
      </c>
    </row>
    <row r="12" spans="1:16">
      <c r="A12" s="390" t="s">
        <v>650</v>
      </c>
      <c r="B12" s="397">
        <f>'LINEA7 SEGUIMIENTO DEL POAI '!B45</f>
        <v>23</v>
      </c>
      <c r="C12" s="396">
        <f>'LINEA7 SEGUIMIENTO DEL POAI '!B46</f>
        <v>1</v>
      </c>
      <c r="D12" s="407">
        <v>0</v>
      </c>
      <c r="E12" s="387">
        <f>'LINEA7 SEGUIMIENTO DEL POAI '!C45</f>
        <v>0</v>
      </c>
      <c r="F12" s="394">
        <f>'LINEA7 SEGUIMIENTO DEL POAI '!C46</f>
        <v>0</v>
      </c>
      <c r="G12" s="406">
        <v>0</v>
      </c>
      <c r="H12" s="387">
        <f>'LINEA7 SEGUIMIENTO DEL POAI '!E45</f>
        <v>0</v>
      </c>
      <c r="I12" s="394">
        <f>'LINEA7 SEGUIMIENTO DEL POAI '!E46</f>
        <v>0</v>
      </c>
      <c r="J12" s="406">
        <v>0</v>
      </c>
      <c r="K12" s="387">
        <f>'LINEA7 SEGUIMIENTO DEL POAI '!G45</f>
        <v>0</v>
      </c>
      <c r="L12" s="394">
        <f>'LINEA7 SEGUIMIENTO DEL POAI '!G46</f>
        <v>0</v>
      </c>
      <c r="M12" s="406">
        <v>0</v>
      </c>
      <c r="N12" s="387">
        <f>'LINEA7 SEGUIMIENTO DEL POAI '!N45</f>
        <v>0</v>
      </c>
      <c r="O12" s="394">
        <f>'LINEA7 SEGUIMIENTO DEL POAI '!N46</f>
        <v>0</v>
      </c>
      <c r="P12" s="410">
        <v>0</v>
      </c>
    </row>
    <row r="13" spans="1:16">
      <c r="A13" s="392" t="s">
        <v>651</v>
      </c>
      <c r="B13" s="397">
        <f>'LINEA8 SEGUIMIENTO DEL POAI'!B63</f>
        <v>158</v>
      </c>
      <c r="C13" s="413">
        <f>'LINEA8 SEGUIMIENTO DEL POAI'!B64</f>
        <v>1</v>
      </c>
      <c r="D13" s="408">
        <v>0</v>
      </c>
      <c r="E13" s="403">
        <f>'LINEA8 SEGUIMIENTO DEL POAI'!C63</f>
        <v>0</v>
      </c>
      <c r="F13" s="414">
        <f>'LINEA8 SEGUIMIENTO DEL POAI'!C64</f>
        <v>0</v>
      </c>
      <c r="G13" s="409">
        <v>0</v>
      </c>
      <c r="H13" s="403">
        <f>'LINEA8 SEGUIMIENTO DEL POAI'!E63</f>
        <v>0</v>
      </c>
      <c r="I13" s="414">
        <f>'LINEA8 SEGUIMIENTO DEL POAI'!E64</f>
        <v>0</v>
      </c>
      <c r="J13" s="409">
        <v>0</v>
      </c>
      <c r="K13" s="403">
        <f>'LINEA8 SEGUIMIENTO DEL POAI'!G63</f>
        <v>0</v>
      </c>
      <c r="L13" s="414">
        <f>'LINEA8 SEGUIMIENTO DEL POAI'!G64</f>
        <v>0</v>
      </c>
      <c r="M13" s="409">
        <v>0</v>
      </c>
      <c r="N13" s="403">
        <f>'LINEA8 SEGUIMIENTO DEL POAI'!N63</f>
        <v>0</v>
      </c>
      <c r="O13" s="414">
        <f>'LINEA8 SEGUIMIENTO DEL POAI'!N64</f>
        <v>0</v>
      </c>
      <c r="P13" s="411">
        <v>0</v>
      </c>
    </row>
    <row r="14" spans="1:16" ht="15.75" thickBot="1">
      <c r="A14" s="401" t="s">
        <v>654</v>
      </c>
      <c r="B14" s="412">
        <f>SUM(B6:B13)</f>
        <v>12051</v>
      </c>
      <c r="C14" s="415">
        <v>1</v>
      </c>
      <c r="D14" s="416">
        <f>D9</f>
        <v>32</v>
      </c>
      <c r="E14" s="416">
        <f>SUM(E6:E13)</f>
        <v>28565648</v>
      </c>
      <c r="F14" s="417">
        <f>AVERAGE(F13,F12,F9,F8,F7,F6)</f>
        <v>75294290.833333328</v>
      </c>
      <c r="G14" s="416">
        <f>G9</f>
        <v>0</v>
      </c>
      <c r="H14" s="416">
        <f>SUM(H6:H13)</f>
        <v>164648509</v>
      </c>
      <c r="I14" s="417">
        <f>AVERAGE(I13,I12,I9,I8,I7,I6)</f>
        <v>248238408.33333334</v>
      </c>
      <c r="J14" s="416">
        <f>J9</f>
        <v>9639442</v>
      </c>
      <c r="K14" s="416">
        <f>SUM(K6:K13)</f>
        <v>0</v>
      </c>
      <c r="L14" s="417">
        <f>AVERAGE(L13,L12,L9,L8,L7,L6)</f>
        <v>0</v>
      </c>
      <c r="M14" s="416">
        <f>M9</f>
        <v>0</v>
      </c>
      <c r="N14" s="416">
        <f>SUM(N6:N13)</f>
        <v>0</v>
      </c>
      <c r="O14" s="417">
        <f>AVERAGE(O13,O12,O9,O8,O7,O6)</f>
        <v>0</v>
      </c>
      <c r="P14" s="418">
        <f>P9</f>
        <v>0</v>
      </c>
    </row>
    <row r="15" spans="1:16" ht="15.75" thickBot="1">
      <c r="A15" s="419"/>
      <c r="B15" s="420"/>
      <c r="C15" s="420"/>
      <c r="D15" s="420"/>
      <c r="E15" s="420"/>
      <c r="F15" s="420"/>
      <c r="G15" s="420"/>
      <c r="H15" s="420"/>
      <c r="I15" s="420"/>
      <c r="J15" s="420"/>
      <c r="K15" s="420"/>
      <c r="L15" s="420"/>
      <c r="M15" s="420"/>
      <c r="N15" s="420"/>
      <c r="O15" s="420"/>
      <c r="P15" s="421"/>
    </row>
    <row r="16" spans="1:16" ht="15.75">
      <c r="A16" s="1020" t="s">
        <v>705</v>
      </c>
      <c r="B16" s="1021"/>
      <c r="C16" s="1021"/>
      <c r="D16" s="1021"/>
      <c r="E16" s="1021"/>
      <c r="F16" s="1021"/>
      <c r="G16" s="1021"/>
      <c r="H16" s="1021"/>
      <c r="I16" s="1022"/>
      <c r="J16" s="420"/>
      <c r="K16" s="420"/>
      <c r="L16" s="420"/>
      <c r="M16" s="420"/>
      <c r="N16" s="420"/>
      <c r="O16" s="420"/>
      <c r="P16" s="421"/>
    </row>
    <row r="17" spans="1:16">
      <c r="A17" s="1011" t="s">
        <v>639</v>
      </c>
      <c r="B17" s="1012" t="s">
        <v>653</v>
      </c>
      <c r="C17" s="1012" t="s">
        <v>640</v>
      </c>
      <c r="D17" s="1012" t="s">
        <v>641</v>
      </c>
      <c r="E17" s="1006" t="s">
        <v>642</v>
      </c>
      <c r="F17" s="1006" t="s">
        <v>643</v>
      </c>
      <c r="G17" s="1012" t="s">
        <v>703</v>
      </c>
      <c r="H17" s="1014" t="s">
        <v>704</v>
      </c>
      <c r="I17" s="1016" t="s">
        <v>704</v>
      </c>
      <c r="J17" s="420"/>
      <c r="K17" s="420"/>
      <c r="L17" s="420"/>
      <c r="M17" s="420"/>
      <c r="N17" s="420"/>
      <c r="O17" s="420"/>
      <c r="P17" s="421"/>
    </row>
    <row r="18" spans="1:16" ht="15.75" thickBot="1">
      <c r="A18" s="1011"/>
      <c r="B18" s="1012" t="s">
        <v>593</v>
      </c>
      <c r="C18" s="1012"/>
      <c r="D18" s="1012"/>
      <c r="E18" s="1007"/>
      <c r="F18" s="1007"/>
      <c r="G18" s="1012"/>
      <c r="H18" s="1015"/>
      <c r="I18" s="1014"/>
      <c r="J18" s="420"/>
      <c r="K18" s="420"/>
      <c r="L18" s="420"/>
      <c r="M18" s="420"/>
      <c r="N18" s="420"/>
      <c r="O18" s="420"/>
      <c r="P18" s="421"/>
    </row>
    <row r="19" spans="1:16" ht="15.75">
      <c r="A19" s="503" t="s">
        <v>644</v>
      </c>
      <c r="B19" s="498">
        <f>'LINEA 1	SEGUIMIENTO DEL PLAN OP'!A64</f>
        <v>768943571</v>
      </c>
      <c r="C19" s="498">
        <f>'LINEA 1	SEGUIMIENTO DEL PLAN OP'!B64</f>
        <v>173840008</v>
      </c>
      <c r="D19" s="498">
        <f>'LINEA 1	SEGUIMIENTO DEL PLAN OP'!D64</f>
        <v>173840008</v>
      </c>
      <c r="E19" s="499">
        <f>'LINEA 1	SEGUIMIENTO DEL PLAN OP'!F64</f>
        <v>0</v>
      </c>
      <c r="F19" s="499">
        <f>'LINEA 1	SEGUIMIENTO DEL PLAN OP'!M64</f>
        <v>0</v>
      </c>
      <c r="G19" s="498">
        <f t="shared" ref="G19:G26" si="0">D19+C19</f>
        <v>347680016</v>
      </c>
      <c r="H19" s="500">
        <f t="shared" ref="H19:H27" si="1">G19/B19*100%</f>
        <v>0.45215283554272673</v>
      </c>
      <c r="I19" s="1017">
        <v>0.53</v>
      </c>
      <c r="J19" s="420"/>
      <c r="K19" s="420"/>
      <c r="L19" s="420"/>
      <c r="M19" s="420"/>
      <c r="N19" s="420"/>
      <c r="O19" s="420"/>
      <c r="P19" s="421"/>
    </row>
    <row r="20" spans="1:16" ht="15.75">
      <c r="A20" s="503" t="s">
        <v>645</v>
      </c>
      <c r="B20" s="505">
        <f>'LINEA 2 SEGUIMIENTO DEL POAI'!A82</f>
        <v>49301015763.194084</v>
      </c>
      <c r="C20" s="505">
        <f>'LINEA 2 SEGUIMIENTO DEL POAI'!B82</f>
        <v>19616792701</v>
      </c>
      <c r="D20" s="505">
        <f>'LINEA 2 SEGUIMIENTO DEL POAI'!D82</f>
        <v>10766076558</v>
      </c>
      <c r="E20" s="499">
        <f>'LINEA 2 SEGUIMIENTO DEL POAI'!F82</f>
        <v>0</v>
      </c>
      <c r="F20" s="499">
        <f>'LINEA 2 SEGUIMIENTO DEL POAI'!M82</f>
        <v>0</v>
      </c>
      <c r="G20" s="498">
        <f t="shared" si="0"/>
        <v>30382869259</v>
      </c>
      <c r="H20" s="500">
        <f t="shared" si="1"/>
        <v>0.6162726829998193</v>
      </c>
      <c r="I20" s="1018"/>
      <c r="J20" s="420"/>
      <c r="K20" s="420"/>
      <c r="L20" s="420"/>
      <c r="M20" s="420"/>
      <c r="N20" s="420"/>
      <c r="O20" s="420"/>
      <c r="P20" s="421"/>
    </row>
    <row r="21" spans="1:16" ht="15.75">
      <c r="A21" s="503" t="s">
        <v>646</v>
      </c>
      <c r="B21" s="505">
        <f>'LINEA3 SEGUIMIENTO DE POAI'!A104</f>
        <v>57111634345</v>
      </c>
      <c r="C21" s="505">
        <f>'LINEA3 SEGUIMIENTO DE POAI'!B104</f>
        <v>17905329215</v>
      </c>
      <c r="D21" s="505">
        <f>'LINEA3 SEGUIMIENTO DE POAI'!D104</f>
        <v>8782218462</v>
      </c>
      <c r="E21" s="499">
        <f>'LINEA3 SEGUIMIENTO DE POAI'!F104</f>
        <v>0</v>
      </c>
      <c r="F21" s="499">
        <f>'LINEA3 SEGUIMIENTO DE POAI'!M104</f>
        <v>0</v>
      </c>
      <c r="G21" s="498">
        <f t="shared" si="0"/>
        <v>26687547677</v>
      </c>
      <c r="H21" s="500">
        <f t="shared" si="1"/>
        <v>0.4672874097033512</v>
      </c>
      <c r="I21" s="1018"/>
      <c r="J21" s="420"/>
      <c r="K21" s="420"/>
      <c r="L21" s="420"/>
      <c r="M21" s="420"/>
      <c r="N21" s="420"/>
      <c r="O21" s="420"/>
      <c r="P21" s="421"/>
    </row>
    <row r="22" spans="1:16" ht="15.75">
      <c r="A22" s="503" t="s">
        <v>647</v>
      </c>
      <c r="B22" s="498">
        <f>'LINEA 4 SEGUIMIENTO DEL POAI'!A91</f>
        <v>5632357757.6155205</v>
      </c>
      <c r="C22" s="498">
        <f>'LINEA 4 SEGUIMIENTO DEL POAI'!B91</f>
        <v>1199259976</v>
      </c>
      <c r="D22" s="498">
        <f>'LINEA 4 SEGUIMIENTO DEL POAI'!D91</f>
        <v>1687108234</v>
      </c>
      <c r="E22" s="499">
        <f>'LINEA 4 SEGUIMIENTO DEL POAI'!F91</f>
        <v>0</v>
      </c>
      <c r="F22" s="499">
        <f>'LINEA 4 SEGUIMIENTO DEL POAI'!H91</f>
        <v>0</v>
      </c>
      <c r="G22" s="498">
        <f t="shared" si="0"/>
        <v>2886368210</v>
      </c>
      <c r="H22" s="500">
        <f t="shared" si="1"/>
        <v>0.51246180271438491</v>
      </c>
      <c r="I22" s="1018"/>
      <c r="J22" s="420"/>
      <c r="K22" s="420"/>
      <c r="L22" s="420"/>
      <c r="M22" s="420"/>
      <c r="N22" s="420"/>
      <c r="O22" s="420"/>
      <c r="P22" s="421"/>
    </row>
    <row r="23" spans="1:16" ht="15.75">
      <c r="A23" s="503" t="s">
        <v>648</v>
      </c>
      <c r="B23" s="498">
        <f>'LINEA5 SEGUIMIENTO POAI'!A59</f>
        <v>322665784.31520021</v>
      </c>
      <c r="C23" s="498">
        <f>'LINEA5 SEGUIMIENTO POAI'!B59</f>
        <v>66897654</v>
      </c>
      <c r="D23" s="498">
        <f>'LINEA5 SEGUIMIENTO POAI'!D59</f>
        <v>66897654</v>
      </c>
      <c r="E23" s="499">
        <f>'LINEA5 SEGUIMIENTO POAI'!F59</f>
        <v>0</v>
      </c>
      <c r="F23" s="499">
        <f>'LINEA5 SEGUIMIENTO POAI'!H59</f>
        <v>0</v>
      </c>
      <c r="G23" s="498">
        <f t="shared" si="0"/>
        <v>133795308</v>
      </c>
      <c r="H23" s="500">
        <f t="shared" si="1"/>
        <v>0.41465601406717589</v>
      </c>
      <c r="I23" s="1018"/>
      <c r="J23" s="420"/>
      <c r="K23" s="420"/>
      <c r="L23" s="420"/>
      <c r="M23" s="420"/>
      <c r="N23" s="420"/>
      <c r="O23" s="420"/>
      <c r="P23" s="421"/>
    </row>
    <row r="24" spans="1:16" ht="15.75">
      <c r="A24" s="503" t="s">
        <v>649</v>
      </c>
      <c r="B24" s="498">
        <f>'LINEA 6 SEGUIMIENTO DEL POAI'!A44</f>
        <v>119838668.808</v>
      </c>
      <c r="C24" s="498">
        <f>'LINEA 6 SEGUIMIENTO DEL POAI'!B44</f>
        <v>34848791</v>
      </c>
      <c r="D24" s="498">
        <f>'LINEA 6 SEGUIMIENTO DEL POAI'!D44</f>
        <v>34848791</v>
      </c>
      <c r="E24" s="499">
        <f>'LINEA 6 SEGUIMIENTO DEL POAI'!F44</f>
        <v>34848791</v>
      </c>
      <c r="F24" s="499">
        <f>'LINEA 6 SEGUIMIENTO DEL POAI'!H44</f>
        <v>0</v>
      </c>
      <c r="G24" s="498">
        <f t="shared" si="0"/>
        <v>69697582</v>
      </c>
      <c r="H24" s="500">
        <f t="shared" si="1"/>
        <v>0.58159509524981667</v>
      </c>
      <c r="I24" s="1018"/>
      <c r="J24" s="420"/>
      <c r="K24" s="420"/>
      <c r="L24" s="420"/>
      <c r="M24" s="420"/>
      <c r="N24" s="420"/>
      <c r="O24" s="420"/>
      <c r="P24" s="421"/>
    </row>
    <row r="25" spans="1:16" ht="15.75">
      <c r="A25" s="503" t="s">
        <v>650</v>
      </c>
      <c r="B25" s="498">
        <f>'LINEA7 SEGUIMIENTO DEL POAI '!A50</f>
        <v>636777246</v>
      </c>
      <c r="C25" s="498">
        <f>'LINEA7 SEGUIMIENTO DEL POAI '!B50</f>
        <v>116614327</v>
      </c>
      <c r="D25" s="498">
        <f>'LINEA7 SEGUIMIENTO DEL POAI '!D50</f>
        <v>14923578</v>
      </c>
      <c r="E25" s="499">
        <f>'LINEA7 SEGUIMIENTO DEL POAI '!F50</f>
        <v>0</v>
      </c>
      <c r="F25" s="499">
        <f>'LINEA7 SEGUIMIENTO DEL POAI '!H50</f>
        <v>0</v>
      </c>
      <c r="G25" s="498">
        <f t="shared" si="0"/>
        <v>131537905</v>
      </c>
      <c r="H25" s="500">
        <f t="shared" si="1"/>
        <v>0.206568161513736</v>
      </c>
      <c r="I25" s="1018"/>
      <c r="J25" s="420"/>
      <c r="K25" s="420"/>
      <c r="L25" s="420"/>
      <c r="M25" s="420"/>
      <c r="N25" s="420"/>
      <c r="O25" s="420"/>
      <c r="P25" s="421"/>
    </row>
    <row r="26" spans="1:16" ht="15.75">
      <c r="A26" s="503" t="s">
        <v>651</v>
      </c>
      <c r="B26" s="498">
        <f>'LINEA8 SEGUIMIENTO DEL POAI'!A68</f>
        <v>2100195606.0671997</v>
      </c>
      <c r="C26" s="498">
        <f>'LINEA8 SEGUIMIENTO DEL POAI'!B68</f>
        <v>623402330.39999986</v>
      </c>
      <c r="D26" s="498">
        <f>'LINEA8 SEGUIMIENTO DEL POAI'!D68</f>
        <v>747455070.99999988</v>
      </c>
      <c r="E26" s="499">
        <f>'LINEA8 SEGUIMIENTO DEL POAI'!F68</f>
        <v>0</v>
      </c>
      <c r="F26" s="499">
        <f>'LINEA8 SEGUIMIENTO DEL POAI'!H68</f>
        <v>0</v>
      </c>
      <c r="G26" s="498">
        <f t="shared" si="0"/>
        <v>1370857401.3999996</v>
      </c>
      <c r="H26" s="500">
        <f t="shared" si="1"/>
        <v>0.65272843988424978</v>
      </c>
      <c r="I26" s="1018"/>
      <c r="J26" s="420"/>
      <c r="K26" s="420"/>
      <c r="L26" s="420"/>
      <c r="M26" s="420"/>
      <c r="N26" s="420"/>
      <c r="O26" s="420"/>
      <c r="P26" s="421"/>
    </row>
    <row r="27" spans="1:16" ht="16.5" thickBot="1">
      <c r="A27" s="501" t="s">
        <v>654</v>
      </c>
      <c r="B27" s="504">
        <f>SUM(B19:B26)</f>
        <v>115993428742.00002</v>
      </c>
      <c r="C27" s="504">
        <f t="shared" ref="C27:D27" si="2">SUM(C19:C26)</f>
        <v>39736985002.400002</v>
      </c>
      <c r="D27" s="504">
        <f t="shared" si="2"/>
        <v>22273368356</v>
      </c>
      <c r="E27" s="504">
        <f>SUM(E19:E26)</f>
        <v>34848791</v>
      </c>
      <c r="F27" s="504">
        <f>SUM(F19:F26)</f>
        <v>0</v>
      </c>
      <c r="G27" s="504">
        <f t="shared" ref="G27" si="3">D27+C27</f>
        <v>62010353358.400002</v>
      </c>
      <c r="H27" s="502">
        <f t="shared" si="1"/>
        <v>0.53460229627600186</v>
      </c>
      <c r="I27" s="1019"/>
      <c r="J27" s="422"/>
      <c r="K27" s="422"/>
      <c r="L27" s="422"/>
      <c r="M27" s="422"/>
      <c r="N27" s="422"/>
      <c r="O27" s="422"/>
      <c r="P27" s="423"/>
    </row>
    <row r="29" spans="1:16">
      <c r="B29">
        <v>130511552077</v>
      </c>
    </row>
    <row r="30" spans="1:16">
      <c r="B30" s="497">
        <f>+B29-B27</f>
        <v>14518123334.999985</v>
      </c>
    </row>
  </sheetData>
  <mergeCells count="19">
    <mergeCell ref="I17:I18"/>
    <mergeCell ref="I19:I27"/>
    <mergeCell ref="A16:I16"/>
    <mergeCell ref="N4:P4"/>
    <mergeCell ref="A1:P2"/>
    <mergeCell ref="A3:P3"/>
    <mergeCell ref="F17:F18"/>
    <mergeCell ref="A4:A5"/>
    <mergeCell ref="E4:G4"/>
    <mergeCell ref="K4:M4"/>
    <mergeCell ref="B4:D4"/>
    <mergeCell ref="A17:A18"/>
    <mergeCell ref="B17:B18"/>
    <mergeCell ref="C17:C18"/>
    <mergeCell ref="D17:D18"/>
    <mergeCell ref="E17:E18"/>
    <mergeCell ref="H4:J4"/>
    <mergeCell ref="G17:G18"/>
    <mergeCell ref="H17:H18"/>
  </mergeCells>
  <phoneticPr fontId="32" type="noConversion"/>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C1C4A-6AE0-4C8E-8AB2-AFF33C65B490}">
  <dimension ref="A2:U23"/>
  <sheetViews>
    <sheetView zoomScale="87" zoomScaleNormal="87" workbookViewId="0">
      <selection activeCell="C19" sqref="C19"/>
    </sheetView>
  </sheetViews>
  <sheetFormatPr baseColWidth="10" defaultRowHeight="15"/>
  <cols>
    <col min="1" max="1" width="44.85546875" customWidth="1"/>
    <col min="2" max="2" width="55.42578125" customWidth="1"/>
    <col min="3" max="3" width="24.42578125" customWidth="1"/>
    <col min="4" max="4" width="27" customWidth="1"/>
    <col min="5" max="5" width="22.42578125" customWidth="1"/>
    <col min="6" max="6" width="20.140625" customWidth="1"/>
  </cols>
  <sheetData>
    <row r="2" spans="1:6">
      <c r="A2" s="1026" t="s">
        <v>785</v>
      </c>
      <c r="B2" s="1026"/>
      <c r="C2" s="1026"/>
      <c r="D2" s="1026"/>
      <c r="E2" s="1026"/>
      <c r="F2" s="1026"/>
    </row>
    <row r="3" spans="1:6" ht="45">
      <c r="A3" s="322" t="s">
        <v>786</v>
      </c>
      <c r="B3" s="322" t="s">
        <v>787</v>
      </c>
      <c r="C3" s="322" t="s">
        <v>788</v>
      </c>
      <c r="D3" s="562" t="s">
        <v>789</v>
      </c>
      <c r="E3" s="563" t="s">
        <v>790</v>
      </c>
      <c r="F3" s="563" t="s">
        <v>791</v>
      </c>
    </row>
    <row r="4" spans="1:6" ht="28.5" customHeight="1">
      <c r="A4" s="1032" t="s">
        <v>49</v>
      </c>
      <c r="B4" s="565" t="s">
        <v>219</v>
      </c>
      <c r="C4" s="566">
        <v>648375074</v>
      </c>
      <c r="D4" s="1025">
        <f>C4+C5+C6</f>
        <v>876375074</v>
      </c>
      <c r="E4" s="569">
        <f>C4/D4*100</f>
        <v>73.983742034178391</v>
      </c>
      <c r="F4" s="1029">
        <f>D4/C23*100</f>
        <v>0.56829669716346631</v>
      </c>
    </row>
    <row r="5" spans="1:6" ht="29.25">
      <c r="A5" s="1033"/>
      <c r="B5" s="565" t="s">
        <v>324</v>
      </c>
      <c r="C5" s="566">
        <v>114000000</v>
      </c>
      <c r="D5" s="1025"/>
      <c r="E5" s="569">
        <f>C5/D4*100</f>
        <v>13.008128982910803</v>
      </c>
      <c r="F5" s="1030"/>
    </row>
    <row r="6" spans="1:6" ht="29.25">
      <c r="A6" s="1034"/>
      <c r="B6" s="565" t="s">
        <v>220</v>
      </c>
      <c r="C6" s="566">
        <v>114000000</v>
      </c>
      <c r="D6" s="1025"/>
      <c r="E6" s="569">
        <f>C6/D4*100</f>
        <v>13.008128982910803</v>
      </c>
      <c r="F6" s="1031"/>
    </row>
    <row r="7" spans="1:6" ht="28.5">
      <c r="A7" s="1032" t="s">
        <v>74</v>
      </c>
      <c r="B7" s="564" t="s">
        <v>221</v>
      </c>
      <c r="C7" s="566">
        <v>3136460946</v>
      </c>
      <c r="D7" s="1027">
        <f>C7+C8</f>
        <v>59599968609</v>
      </c>
      <c r="E7" s="569">
        <f>C7/D7*100</f>
        <v>5.2625211375134402</v>
      </c>
      <c r="F7" s="1029">
        <f>D7/C23*100</f>
        <v>38.648366796818515</v>
      </c>
    </row>
    <row r="8" spans="1:6" ht="28.5">
      <c r="A8" s="1034"/>
      <c r="B8" s="564" t="s">
        <v>793</v>
      </c>
      <c r="C8" s="566">
        <v>56463507663</v>
      </c>
      <c r="D8" s="1028"/>
      <c r="E8" s="569">
        <f>C8/D7*100</f>
        <v>94.737478862486554</v>
      </c>
      <c r="F8" s="1031"/>
    </row>
    <row r="9" spans="1:6" ht="43.5">
      <c r="A9" s="1032" t="s">
        <v>132</v>
      </c>
      <c r="B9" s="565" t="s">
        <v>223</v>
      </c>
      <c r="C9" s="566">
        <v>86291752748</v>
      </c>
      <c r="D9" s="1027">
        <f>C9+C10</f>
        <v>86291752748</v>
      </c>
      <c r="E9" s="304">
        <f>C9/D9*100</f>
        <v>100</v>
      </c>
      <c r="F9" s="1029">
        <f>D9/C23*100</f>
        <v>55.956997790120703</v>
      </c>
    </row>
    <row r="10" spans="1:6" ht="57.75">
      <c r="A10" s="1034"/>
      <c r="B10" s="565" t="s">
        <v>794</v>
      </c>
      <c r="C10" s="567">
        <v>0</v>
      </c>
      <c r="D10" s="1028"/>
      <c r="E10" s="304">
        <f>C10/D9*100</f>
        <v>0</v>
      </c>
      <c r="F10" s="1031"/>
    </row>
    <row r="11" spans="1:6" ht="29.25">
      <c r="A11" s="1035" t="s">
        <v>610</v>
      </c>
      <c r="B11" s="565" t="s">
        <v>192</v>
      </c>
      <c r="C11" s="568">
        <v>0</v>
      </c>
      <c r="D11" s="1027">
        <f>C11+C12+C13+C14</f>
        <v>4099902821</v>
      </c>
      <c r="E11" s="304">
        <v>0</v>
      </c>
      <c r="F11" s="1029">
        <f>D11/C23*100</f>
        <v>2.6586347569550774</v>
      </c>
    </row>
    <row r="12" spans="1:6">
      <c r="A12" s="1036"/>
      <c r="B12" s="568" t="s">
        <v>795</v>
      </c>
      <c r="C12" s="566">
        <v>262068277</v>
      </c>
      <c r="D12" s="1038"/>
      <c r="E12" s="569">
        <f>C12/D11*100</f>
        <v>6.3920607009919177</v>
      </c>
      <c r="F12" s="1030"/>
    </row>
    <row r="13" spans="1:6">
      <c r="A13" s="1036"/>
      <c r="B13" s="565" t="s">
        <v>796</v>
      </c>
      <c r="C13" s="570">
        <v>295834544</v>
      </c>
      <c r="D13" s="1038"/>
      <c r="E13" s="569">
        <f>C13/D11*100</f>
        <v>7.2156477096167739</v>
      </c>
      <c r="F13" s="1030"/>
    </row>
    <row r="14" spans="1:6" ht="29.25">
      <c r="A14" s="1037"/>
      <c r="B14" s="565" t="s">
        <v>797</v>
      </c>
      <c r="C14" s="570">
        <v>3542000000</v>
      </c>
      <c r="D14" s="1028"/>
      <c r="E14" s="569">
        <f>C14/D11*100</f>
        <v>86.392291589391306</v>
      </c>
      <c r="F14" s="1031"/>
    </row>
    <row r="15" spans="1:6" ht="29.25">
      <c r="A15" s="1032" t="s">
        <v>501</v>
      </c>
      <c r="B15" s="565" t="s">
        <v>503</v>
      </c>
      <c r="C15" s="570">
        <v>184000000</v>
      </c>
      <c r="D15" s="1027">
        <f>C15+C16</f>
        <v>425717734</v>
      </c>
      <c r="E15" s="569">
        <f>C15/D15*100</f>
        <v>43.221126418943122</v>
      </c>
      <c r="F15" s="1029">
        <f>D15/C23*100</f>
        <v>0.2760621443189461</v>
      </c>
    </row>
    <row r="16" spans="1:6" ht="28.5" customHeight="1">
      <c r="A16" s="1034"/>
      <c r="B16" s="568" t="s">
        <v>236</v>
      </c>
      <c r="C16" s="570">
        <v>241717734</v>
      </c>
      <c r="D16" s="1028"/>
      <c r="E16" s="569">
        <f>C16/D15*100</f>
        <v>56.778873581056878</v>
      </c>
      <c r="F16" s="1031"/>
    </row>
    <row r="17" spans="1:21" ht="29.25">
      <c r="A17" s="1032" t="s">
        <v>615</v>
      </c>
      <c r="B17" s="565" t="s">
        <v>253</v>
      </c>
      <c r="C17" s="570">
        <v>252052566</v>
      </c>
      <c r="D17" s="1027">
        <f>C17+C18</f>
        <v>252052566</v>
      </c>
      <c r="E17" s="304">
        <f>C17/D17*100</f>
        <v>100</v>
      </c>
      <c r="F17" s="1029">
        <f>D17/C23*100</f>
        <v>0.16344673076516164</v>
      </c>
    </row>
    <row r="18" spans="1:21" ht="29.25">
      <c r="A18" s="1034"/>
      <c r="B18" s="565" t="s">
        <v>319</v>
      </c>
      <c r="C18" s="568">
        <v>0</v>
      </c>
      <c r="D18" s="1028"/>
      <c r="E18" s="304">
        <v>0</v>
      </c>
      <c r="F18" s="1031"/>
    </row>
    <row r="19" spans="1:21" ht="29.25">
      <c r="A19" s="564" t="s">
        <v>801</v>
      </c>
      <c r="B19" s="565" t="s">
        <v>802</v>
      </c>
      <c r="C19" s="570">
        <v>392400000</v>
      </c>
      <c r="D19" s="571">
        <f>C19</f>
        <v>392400000</v>
      </c>
      <c r="E19" s="304">
        <f>D19/C19*100</f>
        <v>100</v>
      </c>
      <c r="F19" s="569">
        <f>D19/C23*100</f>
        <v>0.25445683085110676</v>
      </c>
    </row>
    <row r="20" spans="1:21" ht="29.25" customHeight="1">
      <c r="A20" s="1032" t="s">
        <v>620</v>
      </c>
      <c r="B20" s="572" t="s">
        <v>803</v>
      </c>
      <c r="C20" s="1039">
        <v>2272664045</v>
      </c>
      <c r="D20" s="1042">
        <f>C20</f>
        <v>2272664045</v>
      </c>
      <c r="E20" s="1043">
        <f>C20/D20*100</f>
        <v>100</v>
      </c>
      <c r="F20" s="1029">
        <f>D20/C23*100</f>
        <v>1.4737382530070262</v>
      </c>
    </row>
    <row r="21" spans="1:21" ht="29.25" customHeight="1">
      <c r="A21" s="1033"/>
      <c r="B21" s="572" t="s">
        <v>804</v>
      </c>
      <c r="C21" s="1040"/>
      <c r="D21" s="1038"/>
      <c r="E21" s="1038"/>
      <c r="F21" s="1030"/>
      <c r="U21" t="s">
        <v>808</v>
      </c>
    </row>
    <row r="22" spans="1:21" ht="29.25" customHeight="1">
      <c r="A22" s="1034"/>
      <c r="B22" s="572" t="s">
        <v>280</v>
      </c>
      <c r="C22" s="1041"/>
      <c r="D22" s="1028"/>
      <c r="E22" s="1028"/>
      <c r="F22" s="1031"/>
    </row>
    <row r="23" spans="1:21">
      <c r="A23" s="1023" t="s">
        <v>805</v>
      </c>
      <c r="B23" s="1024"/>
      <c r="C23" s="573">
        <f>SUM(C4:C22)</f>
        <v>154210833597</v>
      </c>
      <c r="D23" s="573">
        <f>SUM(D4:D22)</f>
        <v>154210833597</v>
      </c>
      <c r="E23" s="574"/>
      <c r="F23" s="574">
        <f>SUM(F4:F22)</f>
        <v>100</v>
      </c>
    </row>
  </sheetData>
  <mergeCells count="25">
    <mergeCell ref="D15:D16"/>
    <mergeCell ref="D17:D18"/>
    <mergeCell ref="C20:C22"/>
    <mergeCell ref="D20:D22"/>
    <mergeCell ref="F11:F14"/>
    <mergeCell ref="F15:F16"/>
    <mergeCell ref="F17:F18"/>
    <mergeCell ref="E20:E22"/>
    <mergeCell ref="F20:F22"/>
    <mergeCell ref="A23:B23"/>
    <mergeCell ref="D4:D6"/>
    <mergeCell ref="A2:F2"/>
    <mergeCell ref="D7:D8"/>
    <mergeCell ref="D9:D10"/>
    <mergeCell ref="F4:F6"/>
    <mergeCell ref="F7:F8"/>
    <mergeCell ref="F9:F10"/>
    <mergeCell ref="A4:A6"/>
    <mergeCell ref="A7:A8"/>
    <mergeCell ref="A9:A10"/>
    <mergeCell ref="A11:A14"/>
    <mergeCell ref="A15:A16"/>
    <mergeCell ref="A17:A18"/>
    <mergeCell ref="A20:A22"/>
    <mergeCell ref="D11:D1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C45A2-8042-4E87-BB39-211DFA3914BF}">
  <dimension ref="A2:AJ127"/>
  <sheetViews>
    <sheetView topLeftCell="A35" workbookViewId="0">
      <selection activeCell="A31" sqref="A31:E45"/>
    </sheetView>
  </sheetViews>
  <sheetFormatPr baseColWidth="10" defaultRowHeight="15"/>
  <cols>
    <col min="1" max="1" width="47.7109375" customWidth="1"/>
    <col min="2" max="2" width="10" customWidth="1"/>
    <col min="3" max="3" width="52.85546875" customWidth="1"/>
    <col min="4" max="4" width="45.5703125" customWidth="1"/>
    <col min="5" max="5" width="30" customWidth="1"/>
  </cols>
  <sheetData>
    <row r="2" spans="1:5" ht="39" customHeight="1">
      <c r="A2" s="1046" t="s">
        <v>914</v>
      </c>
      <c r="B2" s="1047"/>
      <c r="C2" s="1047"/>
      <c r="D2" s="1047"/>
      <c r="E2" s="1047"/>
    </row>
    <row r="3" spans="1:5" ht="29.25" customHeight="1">
      <c r="A3" s="1048" t="s">
        <v>876</v>
      </c>
      <c r="B3" s="1048"/>
      <c r="C3" s="1048"/>
      <c r="D3" s="1048"/>
      <c r="E3" s="1048"/>
    </row>
    <row r="4" spans="1:5" ht="15.75">
      <c r="A4" s="600" t="s">
        <v>787</v>
      </c>
      <c r="B4" s="600" t="s">
        <v>877</v>
      </c>
      <c r="C4" s="600" t="s">
        <v>878</v>
      </c>
      <c r="D4" s="600" t="s">
        <v>879</v>
      </c>
      <c r="E4" s="600" t="s">
        <v>788</v>
      </c>
    </row>
    <row r="5" spans="1:5" ht="135">
      <c r="A5" s="1049" t="s">
        <v>880</v>
      </c>
      <c r="B5" s="601" t="s">
        <v>59</v>
      </c>
      <c r="C5" s="1044" t="s">
        <v>62</v>
      </c>
      <c r="D5" s="602" t="s">
        <v>714</v>
      </c>
      <c r="E5" s="1050">
        <v>648375074</v>
      </c>
    </row>
    <row r="6" spans="1:5" ht="45">
      <c r="A6" s="1049"/>
      <c r="B6" s="603"/>
      <c r="C6" s="1044"/>
      <c r="D6" s="602" t="s">
        <v>912</v>
      </c>
      <c r="E6" s="1050"/>
    </row>
    <row r="7" spans="1:5" ht="30">
      <c r="A7" s="1049"/>
      <c r="B7" s="604"/>
      <c r="C7" s="1044"/>
      <c r="D7" s="602" t="s">
        <v>361</v>
      </c>
      <c r="E7" s="1050"/>
    </row>
    <row r="8" spans="1:5" ht="66" customHeight="1">
      <c r="A8" s="1044" t="s">
        <v>881</v>
      </c>
      <c r="B8" s="604"/>
      <c r="C8" s="1044" t="s">
        <v>325</v>
      </c>
      <c r="D8" s="602" t="s">
        <v>718</v>
      </c>
      <c r="E8" s="1045">
        <v>114000000</v>
      </c>
    </row>
    <row r="9" spans="1:5" ht="45">
      <c r="A9" s="1044"/>
      <c r="B9" s="604"/>
      <c r="C9" s="1044"/>
      <c r="D9" s="602" t="s">
        <v>913</v>
      </c>
      <c r="E9" s="1045"/>
    </row>
    <row r="10" spans="1:5" ht="30">
      <c r="A10" s="1044"/>
      <c r="B10" s="604"/>
      <c r="C10" s="1044"/>
      <c r="D10" s="602" t="s">
        <v>394</v>
      </c>
      <c r="E10" s="1045"/>
    </row>
    <row r="11" spans="1:5" ht="45">
      <c r="A11" s="1044"/>
      <c r="B11" s="604"/>
      <c r="C11" s="1044"/>
      <c r="D11" s="602" t="s">
        <v>720</v>
      </c>
      <c r="E11" s="1045"/>
    </row>
    <row r="12" spans="1:5" ht="45" customHeight="1">
      <c r="A12" s="1044" t="s">
        <v>882</v>
      </c>
      <c r="B12" s="604"/>
      <c r="C12" s="1044" t="s">
        <v>883</v>
      </c>
      <c r="D12" s="602" t="s">
        <v>357</v>
      </c>
      <c r="E12" s="1045">
        <v>114000000</v>
      </c>
    </row>
    <row r="13" spans="1:5" ht="30">
      <c r="A13" s="1044"/>
      <c r="B13" s="604"/>
      <c r="C13" s="1044"/>
      <c r="D13" s="602" t="s">
        <v>359</v>
      </c>
      <c r="E13" s="1045"/>
    </row>
    <row r="14" spans="1:5" ht="30">
      <c r="A14" s="1044"/>
      <c r="B14" s="604"/>
      <c r="C14" s="1044"/>
      <c r="D14" s="602" t="s">
        <v>397</v>
      </c>
      <c r="E14" s="1045"/>
    </row>
    <row r="15" spans="1:5" ht="15.75">
      <c r="A15" s="605" t="s">
        <v>884</v>
      </c>
      <c r="B15" s="605"/>
      <c r="C15" s="605"/>
      <c r="D15" s="605"/>
      <c r="E15" s="606">
        <f>E12+E8+E5</f>
        <v>876375074</v>
      </c>
    </row>
    <row r="19" spans="1:36" ht="33.75" customHeight="1">
      <c r="A19" s="1046" t="s">
        <v>914</v>
      </c>
      <c r="B19" s="1047"/>
      <c r="C19" s="1047"/>
      <c r="D19" s="1047"/>
      <c r="E19" s="1047"/>
    </row>
    <row r="20" spans="1:36">
      <c r="A20" s="1048" t="s">
        <v>885</v>
      </c>
      <c r="B20" s="1048"/>
      <c r="C20" s="1048"/>
      <c r="D20" s="1048"/>
      <c r="E20" s="1048"/>
    </row>
    <row r="21" spans="1:36" ht="15.75">
      <c r="A21" s="600" t="s">
        <v>787</v>
      </c>
      <c r="B21" s="600" t="s">
        <v>877</v>
      </c>
      <c r="C21" s="600" t="s">
        <v>878</v>
      </c>
      <c r="D21" s="600" t="s">
        <v>879</v>
      </c>
      <c r="E21" s="600" t="s">
        <v>788</v>
      </c>
    </row>
    <row r="22" spans="1:36" ht="135">
      <c r="A22" s="1044" t="s">
        <v>886</v>
      </c>
      <c r="B22" s="601" t="s">
        <v>59</v>
      </c>
      <c r="C22" s="1052" t="s">
        <v>134</v>
      </c>
      <c r="D22" s="602" t="s">
        <v>810</v>
      </c>
      <c r="E22" s="1053">
        <v>86291752748</v>
      </c>
    </row>
    <row r="23" spans="1:36" ht="30">
      <c r="A23" s="1044"/>
      <c r="B23" s="603"/>
      <c r="C23" s="1052"/>
      <c r="D23" s="602" t="s">
        <v>815</v>
      </c>
      <c r="E23" s="1054"/>
    </row>
    <row r="24" spans="1:36" ht="108.75" customHeight="1">
      <c r="A24" s="1044"/>
      <c r="B24" s="603"/>
      <c r="C24" s="1052"/>
      <c r="D24" s="602" t="s">
        <v>827</v>
      </c>
      <c r="E24" s="1054"/>
    </row>
    <row r="25" spans="1:36" ht="54" customHeight="1">
      <c r="A25" s="1051" t="s">
        <v>887</v>
      </c>
      <c r="B25" s="604"/>
      <c r="C25" s="1051" t="s">
        <v>160</v>
      </c>
      <c r="D25" s="602" t="s">
        <v>839</v>
      </c>
      <c r="E25" s="1054"/>
      <c r="H25" s="617" t="s">
        <v>916</v>
      </c>
      <c r="AJ25" s="617" t="s">
        <v>917</v>
      </c>
    </row>
    <row r="26" spans="1:36" ht="75">
      <c r="A26" s="1051"/>
      <c r="B26" s="604"/>
      <c r="C26" s="1051"/>
      <c r="D26" s="602" t="s">
        <v>838</v>
      </c>
      <c r="E26" s="1055"/>
    </row>
    <row r="27" spans="1:36" ht="15.75">
      <c r="A27" s="605" t="s">
        <v>884</v>
      </c>
      <c r="B27" s="605"/>
      <c r="C27" s="605"/>
      <c r="D27" s="605"/>
      <c r="E27" s="606">
        <f>E22+E25</f>
        <v>86291752748</v>
      </c>
    </row>
    <row r="31" spans="1:36" ht="46.5" customHeight="1">
      <c r="A31" s="1046" t="s">
        <v>914</v>
      </c>
      <c r="B31" s="1047"/>
      <c r="C31" s="1047"/>
      <c r="D31" s="1047"/>
      <c r="E31" s="1047"/>
    </row>
    <row r="32" spans="1:36">
      <c r="A32" s="1048" t="s">
        <v>888</v>
      </c>
      <c r="B32" s="1048"/>
      <c r="C32" s="1048"/>
      <c r="D32" s="1048"/>
      <c r="E32" s="1048"/>
    </row>
    <row r="33" spans="1:5" ht="15.75">
      <c r="A33" s="600" t="s">
        <v>787</v>
      </c>
      <c r="B33" s="600" t="s">
        <v>877</v>
      </c>
      <c r="C33" s="600" t="s">
        <v>878</v>
      </c>
      <c r="D33" s="600" t="s">
        <v>879</v>
      </c>
      <c r="E33" s="600" t="s">
        <v>788</v>
      </c>
    </row>
    <row r="34" spans="1:5" ht="135">
      <c r="A34" s="1044" t="s">
        <v>889</v>
      </c>
      <c r="B34" s="601" t="s">
        <v>59</v>
      </c>
      <c r="C34" s="1052" t="s">
        <v>76</v>
      </c>
      <c r="D34" s="602" t="s">
        <v>468</v>
      </c>
      <c r="E34" s="1045">
        <v>3136460946</v>
      </c>
    </row>
    <row r="35" spans="1:5" ht="30">
      <c r="A35" s="1044"/>
      <c r="B35" s="603"/>
      <c r="C35" s="1052"/>
      <c r="D35" s="602" t="s">
        <v>470</v>
      </c>
      <c r="E35" s="1045"/>
    </row>
    <row r="36" spans="1:5" ht="30">
      <c r="A36" s="1044"/>
      <c r="B36" s="603"/>
      <c r="C36" s="1052"/>
      <c r="D36" s="602" t="s">
        <v>471</v>
      </c>
      <c r="E36" s="1045"/>
    </row>
    <row r="37" spans="1:5" ht="30">
      <c r="A37" s="1044"/>
      <c r="B37" s="603"/>
      <c r="C37" s="1052"/>
      <c r="D37" s="602" t="s">
        <v>472</v>
      </c>
      <c r="E37" s="1045"/>
    </row>
    <row r="38" spans="1:5" ht="30">
      <c r="A38" s="1044"/>
      <c r="B38" s="603"/>
      <c r="C38" s="1052"/>
      <c r="D38" s="602" t="s">
        <v>475</v>
      </c>
      <c r="E38" s="1045"/>
    </row>
    <row r="39" spans="1:5" ht="30">
      <c r="A39" s="1044"/>
      <c r="B39" s="603"/>
      <c r="C39" s="1052"/>
      <c r="D39" s="602" t="s">
        <v>476</v>
      </c>
      <c r="E39" s="1045"/>
    </row>
    <row r="40" spans="1:5" ht="15.75">
      <c r="A40" s="1044"/>
      <c r="B40" s="604"/>
      <c r="C40" s="1052"/>
      <c r="D40" s="602" t="s">
        <v>772</v>
      </c>
      <c r="E40" s="1045"/>
    </row>
    <row r="41" spans="1:5" ht="30">
      <c r="A41" s="1056" t="s">
        <v>890</v>
      </c>
      <c r="B41" s="604"/>
      <c r="C41" s="1056" t="s">
        <v>165</v>
      </c>
      <c r="D41" s="602" t="s">
        <v>721</v>
      </c>
      <c r="E41" s="1053">
        <v>56463507663</v>
      </c>
    </row>
    <row r="42" spans="1:5" ht="45">
      <c r="A42" s="1051"/>
      <c r="B42" s="604"/>
      <c r="C42" s="1051"/>
      <c r="D42" s="602" t="s">
        <v>722</v>
      </c>
      <c r="E42" s="1054"/>
    </row>
    <row r="43" spans="1:5" ht="120">
      <c r="A43" s="1051"/>
      <c r="B43" s="604"/>
      <c r="C43" s="1051"/>
      <c r="D43" s="602" t="s">
        <v>723</v>
      </c>
      <c r="E43" s="1054"/>
    </row>
    <row r="44" spans="1:5" ht="30">
      <c r="A44" s="1051"/>
      <c r="B44" s="604"/>
      <c r="C44" s="1051"/>
      <c r="D44" s="602" t="s">
        <v>725</v>
      </c>
      <c r="E44" s="1054"/>
    </row>
    <row r="45" spans="1:5" ht="15.75">
      <c r="A45" s="605" t="s">
        <v>884</v>
      </c>
      <c r="B45" s="605"/>
      <c r="C45" s="605"/>
      <c r="D45" s="605"/>
      <c r="E45" s="606">
        <f>E41+E34</f>
        <v>59599968609</v>
      </c>
    </row>
    <row r="47" spans="1:5" ht="34.5" customHeight="1">
      <c r="A47" s="1046" t="s">
        <v>914</v>
      </c>
      <c r="B47" s="1047"/>
      <c r="C47" s="1047"/>
      <c r="D47" s="1047"/>
      <c r="E47" s="1047"/>
    </row>
    <row r="48" spans="1:5">
      <c r="A48" s="1048" t="s">
        <v>891</v>
      </c>
      <c r="B48" s="1048"/>
      <c r="C48" s="1048"/>
      <c r="D48" s="1048"/>
      <c r="E48" s="1048"/>
    </row>
    <row r="49" spans="1:5" ht="15.75">
      <c r="A49" s="600" t="s">
        <v>787</v>
      </c>
      <c r="B49" s="600" t="s">
        <v>877</v>
      </c>
      <c r="C49" s="600" t="s">
        <v>878</v>
      </c>
      <c r="D49" s="600" t="s">
        <v>879</v>
      </c>
      <c r="E49" s="600" t="s">
        <v>788</v>
      </c>
    </row>
    <row r="50" spans="1:5" ht="135">
      <c r="A50" s="602" t="s">
        <v>892</v>
      </c>
      <c r="B50" s="601" t="s">
        <v>59</v>
      </c>
      <c r="C50" s="607" t="s">
        <v>180</v>
      </c>
      <c r="D50" s="602" t="s">
        <v>919</v>
      </c>
      <c r="E50" s="608">
        <v>0</v>
      </c>
    </row>
    <row r="51" spans="1:5" ht="30">
      <c r="A51" s="1044" t="s">
        <v>893</v>
      </c>
      <c r="B51" s="604"/>
      <c r="C51" s="1044" t="s">
        <v>184</v>
      </c>
      <c r="D51" s="602" t="s">
        <v>740</v>
      </c>
      <c r="E51" s="1045">
        <v>262068277</v>
      </c>
    </row>
    <row r="52" spans="1:5" ht="15.75">
      <c r="A52" s="1044"/>
      <c r="B52" s="604"/>
      <c r="C52" s="1044"/>
      <c r="D52" s="602" t="s">
        <v>463</v>
      </c>
      <c r="E52" s="1045"/>
    </row>
    <row r="53" spans="1:5" ht="30">
      <c r="A53" s="1044"/>
      <c r="B53" s="604"/>
      <c r="C53" s="1044"/>
      <c r="D53" s="602" t="s">
        <v>894</v>
      </c>
      <c r="E53" s="1045"/>
    </row>
    <row r="54" spans="1:5" ht="45">
      <c r="A54" s="1056" t="s">
        <v>895</v>
      </c>
      <c r="B54" s="604"/>
      <c r="C54" s="1056" t="s">
        <v>195</v>
      </c>
      <c r="D54" s="602" t="s">
        <v>845</v>
      </c>
      <c r="E54" s="1053">
        <v>295834544</v>
      </c>
    </row>
    <row r="55" spans="1:5" ht="73.5" customHeight="1">
      <c r="A55" s="1051"/>
      <c r="B55" s="604"/>
      <c r="C55" s="1051"/>
      <c r="D55" s="602" t="s">
        <v>846</v>
      </c>
      <c r="E55" s="1054"/>
    </row>
    <row r="56" spans="1:5" ht="30">
      <c r="A56" s="1051"/>
      <c r="B56" s="604"/>
      <c r="C56" s="1051"/>
      <c r="D56" s="602" t="s">
        <v>402</v>
      </c>
      <c r="E56" s="1054"/>
    </row>
    <row r="57" spans="1:5" ht="30">
      <c r="A57" s="1057"/>
      <c r="B57" s="604"/>
      <c r="C57" s="1057"/>
      <c r="D57" s="602" t="s">
        <v>847</v>
      </c>
      <c r="E57" s="1055"/>
    </row>
    <row r="58" spans="1:5" ht="90">
      <c r="A58" s="1056" t="s">
        <v>896</v>
      </c>
      <c r="B58" s="609"/>
      <c r="C58" s="1056" t="s">
        <v>208</v>
      </c>
      <c r="D58" s="610" t="s">
        <v>851</v>
      </c>
      <c r="E58" s="1053">
        <v>3542000000</v>
      </c>
    </row>
    <row r="59" spans="1:5" ht="45">
      <c r="A59" s="1051"/>
      <c r="B59" s="604"/>
      <c r="C59" s="1051"/>
      <c r="D59" s="602" t="s">
        <v>854</v>
      </c>
      <c r="E59" s="1054"/>
    </row>
    <row r="60" spans="1:5" ht="60">
      <c r="A60" s="1057"/>
      <c r="B60" s="604"/>
      <c r="C60" s="1057"/>
      <c r="D60" s="602" t="s">
        <v>853</v>
      </c>
      <c r="E60" s="1055"/>
    </row>
    <row r="61" spans="1:5" ht="15.75">
      <c r="A61" s="605" t="s">
        <v>884</v>
      </c>
      <c r="B61" s="605"/>
      <c r="C61" s="605"/>
      <c r="D61" s="605"/>
      <c r="E61" s="606">
        <f>E58+E54+E51+E50</f>
        <v>4099902821</v>
      </c>
    </row>
    <row r="64" spans="1:5" ht="44.25" customHeight="1">
      <c r="A64" s="1046" t="s">
        <v>914</v>
      </c>
      <c r="B64" s="1047"/>
      <c r="C64" s="1047"/>
      <c r="D64" s="1047"/>
      <c r="E64" s="1047"/>
    </row>
    <row r="65" spans="1:5">
      <c r="A65" s="1048" t="s">
        <v>897</v>
      </c>
      <c r="B65" s="1048"/>
      <c r="C65" s="1048"/>
      <c r="D65" s="1048"/>
      <c r="E65" s="1048"/>
    </row>
    <row r="66" spans="1:5" ht="15.75">
      <c r="A66" s="600" t="s">
        <v>787</v>
      </c>
      <c r="B66" s="600" t="s">
        <v>877</v>
      </c>
      <c r="C66" s="600" t="s">
        <v>878</v>
      </c>
      <c r="D66" s="600" t="s">
        <v>879</v>
      </c>
      <c r="E66" s="600" t="s">
        <v>788</v>
      </c>
    </row>
    <row r="67" spans="1:5" ht="75">
      <c r="A67" s="1056" t="s">
        <v>898</v>
      </c>
      <c r="B67" s="601"/>
      <c r="C67" s="1056" t="s">
        <v>504</v>
      </c>
      <c r="D67" s="602" t="s">
        <v>744</v>
      </c>
      <c r="E67" s="1053">
        <v>184000000</v>
      </c>
    </row>
    <row r="68" spans="1:5" ht="60">
      <c r="A68" s="1051"/>
      <c r="B68" s="600"/>
      <c r="C68" s="1051"/>
      <c r="D68" s="602" t="s">
        <v>745</v>
      </c>
      <c r="E68" s="1054"/>
    </row>
    <row r="69" spans="1:5" ht="75">
      <c r="A69" s="1051"/>
      <c r="B69" s="600"/>
      <c r="C69" s="1051"/>
      <c r="D69" s="602" t="s">
        <v>746</v>
      </c>
      <c r="E69" s="1054"/>
    </row>
    <row r="70" spans="1:5" ht="60">
      <c r="A70" s="1044" t="s">
        <v>899</v>
      </c>
      <c r="B70" s="604"/>
      <c r="C70" s="1044" t="s">
        <v>237</v>
      </c>
      <c r="D70" s="611" t="s">
        <v>920</v>
      </c>
      <c r="E70" s="1045">
        <v>241717734</v>
      </c>
    </row>
    <row r="71" spans="1:5" ht="75">
      <c r="A71" s="1044"/>
      <c r="B71" s="604"/>
      <c r="C71" s="1044"/>
      <c r="D71" s="602" t="s">
        <v>858</v>
      </c>
      <c r="E71" s="1045"/>
    </row>
    <row r="72" spans="1:5" ht="45">
      <c r="A72" s="1044"/>
      <c r="B72" s="604"/>
      <c r="C72" s="1044"/>
      <c r="D72" s="602" t="s">
        <v>422</v>
      </c>
      <c r="E72" s="1045"/>
    </row>
    <row r="73" spans="1:5" ht="15.75">
      <c r="A73" s="605" t="s">
        <v>884</v>
      </c>
      <c r="B73" s="605"/>
      <c r="C73" s="605"/>
      <c r="D73" s="605"/>
      <c r="E73" s="606">
        <f>E67+E70</f>
        <v>425717734</v>
      </c>
    </row>
    <row r="77" spans="1:5" ht="47.25" customHeight="1">
      <c r="A77" s="1046" t="s">
        <v>914</v>
      </c>
      <c r="B77" s="1047"/>
      <c r="C77" s="1047"/>
      <c r="D77" s="1047"/>
      <c r="E77" s="1047"/>
    </row>
    <row r="78" spans="1:5">
      <c r="A78" s="1048" t="s">
        <v>900</v>
      </c>
      <c r="B78" s="1048"/>
      <c r="C78" s="1048"/>
      <c r="D78" s="1048"/>
      <c r="E78" s="1048"/>
    </row>
    <row r="79" spans="1:5" ht="15.75">
      <c r="A79" s="600" t="s">
        <v>787</v>
      </c>
      <c r="B79" s="600" t="s">
        <v>877</v>
      </c>
      <c r="C79" s="600" t="s">
        <v>878</v>
      </c>
      <c r="D79" s="600" t="s">
        <v>879</v>
      </c>
      <c r="E79" s="600" t="s">
        <v>788</v>
      </c>
    </row>
    <row r="80" spans="1:5" ht="82.5" customHeight="1">
      <c r="A80" s="612" t="s">
        <v>901</v>
      </c>
      <c r="B80" s="601"/>
      <c r="C80" s="612" t="s">
        <v>254</v>
      </c>
      <c r="D80" s="602" t="s">
        <v>563</v>
      </c>
      <c r="E80" s="613">
        <v>252052566</v>
      </c>
    </row>
    <row r="81" spans="1:5" ht="120">
      <c r="A81" s="602" t="s">
        <v>902</v>
      </c>
      <c r="B81" s="604"/>
      <c r="C81" s="602" t="s">
        <v>261</v>
      </c>
      <c r="D81" s="611" t="s">
        <v>863</v>
      </c>
      <c r="E81" s="608">
        <v>0</v>
      </c>
    </row>
    <row r="82" spans="1:5" ht="15.75">
      <c r="A82" s="605" t="s">
        <v>884</v>
      </c>
      <c r="B82" s="605"/>
      <c r="C82" s="605"/>
      <c r="D82" s="605"/>
      <c r="E82" s="606">
        <f>E80+E81</f>
        <v>252052566</v>
      </c>
    </row>
    <row r="85" spans="1:5" ht="42.75" customHeight="1">
      <c r="A85" s="1046" t="s">
        <v>914</v>
      </c>
      <c r="B85" s="1047"/>
      <c r="C85" s="1047"/>
      <c r="D85" s="1047"/>
      <c r="E85" s="1047"/>
    </row>
    <row r="86" spans="1:5">
      <c r="A86" s="1048" t="s">
        <v>903</v>
      </c>
      <c r="B86" s="1048"/>
      <c r="C86" s="1048"/>
      <c r="D86" s="1048"/>
      <c r="E86" s="1048"/>
    </row>
    <row r="87" spans="1:5" ht="15.75">
      <c r="A87" s="600" t="s">
        <v>787</v>
      </c>
      <c r="B87" s="600" t="s">
        <v>877</v>
      </c>
      <c r="C87" s="600" t="s">
        <v>878</v>
      </c>
      <c r="D87" s="600" t="s">
        <v>879</v>
      </c>
      <c r="E87" s="600" t="s">
        <v>788</v>
      </c>
    </row>
    <row r="88" spans="1:5" ht="60">
      <c r="A88" s="1056" t="s">
        <v>904</v>
      </c>
      <c r="B88" s="600"/>
      <c r="C88" s="1056" t="s">
        <v>905</v>
      </c>
      <c r="D88" s="602" t="s">
        <v>753</v>
      </c>
      <c r="E88" s="1067">
        <v>392400000</v>
      </c>
    </row>
    <row r="89" spans="1:5" ht="60">
      <c r="A89" s="1051"/>
      <c r="B89" s="600"/>
      <c r="C89" s="1051"/>
      <c r="D89" s="602" t="s">
        <v>866</v>
      </c>
      <c r="E89" s="1068"/>
    </row>
    <row r="90" spans="1:5" ht="30">
      <c r="A90" s="1051"/>
      <c r="B90" s="600"/>
      <c r="C90" s="1051"/>
      <c r="D90" s="602" t="s">
        <v>757</v>
      </c>
      <c r="E90" s="1069"/>
    </row>
    <row r="91" spans="1:5" ht="15.75">
      <c r="A91" s="605" t="s">
        <v>884</v>
      </c>
      <c r="B91" s="605"/>
      <c r="C91" s="605"/>
      <c r="D91" s="605"/>
      <c r="E91" s="606">
        <f>E88</f>
        <v>392400000</v>
      </c>
    </row>
    <row r="94" spans="1:5" ht="44.25" customHeight="1">
      <c r="A94" s="1046" t="s">
        <v>914</v>
      </c>
      <c r="B94" s="1047"/>
      <c r="C94" s="1047"/>
      <c r="D94" s="1047"/>
      <c r="E94" s="1047"/>
    </row>
    <row r="95" spans="1:5">
      <c r="A95" s="1048" t="s">
        <v>906</v>
      </c>
      <c r="B95" s="1048"/>
      <c r="C95" s="1048"/>
      <c r="D95" s="1048"/>
      <c r="E95" s="1048"/>
    </row>
    <row r="96" spans="1:5" ht="15.75">
      <c r="A96" s="600" t="s">
        <v>787</v>
      </c>
      <c r="B96" s="600" t="s">
        <v>877</v>
      </c>
      <c r="C96" s="600" t="s">
        <v>878</v>
      </c>
      <c r="D96" s="600" t="s">
        <v>879</v>
      </c>
      <c r="E96" s="600" t="s">
        <v>788</v>
      </c>
    </row>
    <row r="97" spans="1:5" ht="75.75" customHeight="1">
      <c r="A97" s="1044" t="s">
        <v>907</v>
      </c>
      <c r="B97" s="600"/>
      <c r="C97" s="1044" t="s">
        <v>277</v>
      </c>
      <c r="D97" s="603" t="s">
        <v>921</v>
      </c>
      <c r="E97" s="1053">
        <v>2272664045</v>
      </c>
    </row>
    <row r="98" spans="1:5" ht="30.75">
      <c r="A98" s="1044"/>
      <c r="B98" s="600"/>
      <c r="C98" s="1044"/>
      <c r="D98" s="603" t="s">
        <v>759</v>
      </c>
      <c r="E98" s="1054"/>
    </row>
    <row r="99" spans="1:5" ht="30.75">
      <c r="A99" s="1056" t="s">
        <v>908</v>
      </c>
      <c r="B99" s="600"/>
      <c r="C99" s="1056" t="s">
        <v>909</v>
      </c>
      <c r="D99" s="614" t="s">
        <v>870</v>
      </c>
      <c r="E99" s="1054"/>
    </row>
    <row r="100" spans="1:5" ht="30.75">
      <c r="A100" s="1051"/>
      <c r="B100" s="600"/>
      <c r="C100" s="1051"/>
      <c r="D100" s="614" t="s">
        <v>922</v>
      </c>
      <c r="E100" s="1054"/>
    </row>
    <row r="101" spans="1:5" ht="45.75">
      <c r="A101" s="1051"/>
      <c r="B101" s="600"/>
      <c r="C101" s="1051"/>
      <c r="D101" s="614" t="s">
        <v>871</v>
      </c>
      <c r="E101" s="1054"/>
    </row>
    <row r="102" spans="1:5" ht="60.75" customHeight="1">
      <c r="A102" s="1058" t="s">
        <v>910</v>
      </c>
      <c r="B102" s="600"/>
      <c r="C102" s="1056" t="s">
        <v>281</v>
      </c>
      <c r="D102" s="602" t="s">
        <v>765</v>
      </c>
      <c r="E102" s="1054"/>
    </row>
    <row r="103" spans="1:5" ht="15.75">
      <c r="A103" s="1059"/>
      <c r="B103" s="600"/>
      <c r="C103" s="1051"/>
      <c r="D103" s="602" t="s">
        <v>766</v>
      </c>
      <c r="E103" s="1054"/>
    </row>
    <row r="104" spans="1:5" ht="15.75">
      <c r="A104" s="1060"/>
      <c r="B104" s="600"/>
      <c r="C104" s="1057"/>
      <c r="D104" s="602" t="s">
        <v>448</v>
      </c>
      <c r="E104" s="1055"/>
    </row>
    <row r="105" spans="1:5" ht="15.75">
      <c r="A105" s="605" t="s">
        <v>884</v>
      </c>
      <c r="B105" s="605"/>
      <c r="C105" s="605"/>
      <c r="D105" s="605"/>
      <c r="E105" s="606">
        <f>E102+E99+E97</f>
        <v>2272664045</v>
      </c>
    </row>
    <row r="109" spans="1:5" ht="15" customHeight="1">
      <c r="A109" s="1061" t="s">
        <v>914</v>
      </c>
      <c r="B109" s="1062"/>
      <c r="C109" s="1063"/>
    </row>
    <row r="110" spans="1:5">
      <c r="A110" s="1064"/>
      <c r="B110" s="1065"/>
      <c r="C110" s="1066"/>
    </row>
    <row r="111" spans="1:5">
      <c r="A111" s="615" t="s">
        <v>911</v>
      </c>
      <c r="B111" s="615"/>
      <c r="C111" s="615" t="s">
        <v>788</v>
      </c>
    </row>
    <row r="112" spans="1:5" ht="32.25" customHeight="1">
      <c r="A112" s="622" t="s">
        <v>923</v>
      </c>
      <c r="B112" s="568"/>
      <c r="C112" s="620">
        <f>E15</f>
        <v>876375074</v>
      </c>
    </row>
    <row r="113" spans="1:5" ht="30">
      <c r="A113" s="623" t="s">
        <v>692</v>
      </c>
      <c r="B113" s="568"/>
      <c r="C113" s="620">
        <f>E45</f>
        <v>59599968609</v>
      </c>
    </row>
    <row r="114" spans="1:5">
      <c r="A114" s="624" t="s">
        <v>691</v>
      </c>
      <c r="B114" s="568"/>
      <c r="C114" s="620">
        <f>E27</f>
        <v>86291752748</v>
      </c>
    </row>
    <row r="115" spans="1:5">
      <c r="A115" s="624" t="s">
        <v>690</v>
      </c>
      <c r="B115" s="568"/>
      <c r="C115" s="620">
        <f>E61</f>
        <v>4099902821</v>
      </c>
    </row>
    <row r="116" spans="1:5" ht="30">
      <c r="A116" s="623" t="s">
        <v>689</v>
      </c>
      <c r="B116" s="568"/>
      <c r="C116" s="620">
        <f>E73</f>
        <v>425717734</v>
      </c>
    </row>
    <row r="117" spans="1:5" ht="30">
      <c r="A117" s="623" t="s">
        <v>688</v>
      </c>
      <c r="B117" s="568"/>
      <c r="C117" s="620">
        <f>E82</f>
        <v>252052566</v>
      </c>
    </row>
    <row r="118" spans="1:5" ht="30">
      <c r="A118" s="623" t="s">
        <v>687</v>
      </c>
      <c r="B118" s="568"/>
      <c r="C118" s="620">
        <f>E91</f>
        <v>392400000</v>
      </c>
    </row>
    <row r="119" spans="1:5" ht="30">
      <c r="A119" s="623" t="s">
        <v>686</v>
      </c>
      <c r="B119" s="568"/>
      <c r="C119" s="620">
        <f>E105</f>
        <v>2272664045</v>
      </c>
    </row>
    <row r="120" spans="1:5" ht="23.25">
      <c r="A120" s="624" t="s">
        <v>805</v>
      </c>
      <c r="B120" s="568"/>
      <c r="C120" s="621">
        <f>SUM(C112:C119)</f>
        <v>154210833597</v>
      </c>
      <c r="D120" s="497">
        <f>E120-C120</f>
        <v>0</v>
      </c>
      <c r="E120" s="616">
        <v>154210833597</v>
      </c>
    </row>
    <row r="124" spans="1:5">
      <c r="D124" s="619">
        <f>C120-C127</f>
        <v>0</v>
      </c>
    </row>
    <row r="127" spans="1:5">
      <c r="C127" s="618">
        <v>154210833597</v>
      </c>
    </row>
  </sheetData>
  <mergeCells count="62">
    <mergeCell ref="A102:A104"/>
    <mergeCell ref="C102:C104"/>
    <mergeCell ref="A109:C110"/>
    <mergeCell ref="E97:E104"/>
    <mergeCell ref="E88:E90"/>
    <mergeCell ref="A94:E94"/>
    <mergeCell ref="A95:E95"/>
    <mergeCell ref="A97:A98"/>
    <mergeCell ref="C97:C98"/>
    <mergeCell ref="A99:A101"/>
    <mergeCell ref="C99:C101"/>
    <mergeCell ref="A77:E77"/>
    <mergeCell ref="A78:E78"/>
    <mergeCell ref="A85:E85"/>
    <mergeCell ref="A86:E86"/>
    <mergeCell ref="A88:A90"/>
    <mergeCell ref="C88:C90"/>
    <mergeCell ref="A47:E47"/>
    <mergeCell ref="A48:E48"/>
    <mergeCell ref="A70:A72"/>
    <mergeCell ref="C70:C72"/>
    <mergeCell ref="E70:E72"/>
    <mergeCell ref="A54:A57"/>
    <mergeCell ref="C54:C57"/>
    <mergeCell ref="E54:E57"/>
    <mergeCell ref="A58:A60"/>
    <mergeCell ref="C58:C60"/>
    <mergeCell ref="E58:E60"/>
    <mergeCell ref="A64:E64"/>
    <mergeCell ref="A65:E65"/>
    <mergeCell ref="A67:A69"/>
    <mergeCell ref="C67:C69"/>
    <mergeCell ref="E67:E69"/>
    <mergeCell ref="A51:A53"/>
    <mergeCell ref="C51:C53"/>
    <mergeCell ref="E51:E53"/>
    <mergeCell ref="A25:A26"/>
    <mergeCell ref="C25:C26"/>
    <mergeCell ref="A31:E31"/>
    <mergeCell ref="A32:E32"/>
    <mergeCell ref="A34:A40"/>
    <mergeCell ref="C34:C40"/>
    <mergeCell ref="E34:E40"/>
    <mergeCell ref="E22:E26"/>
    <mergeCell ref="A22:A24"/>
    <mergeCell ref="C22:C24"/>
    <mergeCell ref="A41:A44"/>
    <mergeCell ref="C41:C44"/>
    <mergeCell ref="E41:E44"/>
    <mergeCell ref="A12:A14"/>
    <mergeCell ref="C12:C14"/>
    <mergeCell ref="E12:E14"/>
    <mergeCell ref="A19:E19"/>
    <mergeCell ref="A20:E20"/>
    <mergeCell ref="A8:A11"/>
    <mergeCell ref="C8:C11"/>
    <mergeCell ref="E8:E11"/>
    <mergeCell ref="A2:E2"/>
    <mergeCell ref="A3:E3"/>
    <mergeCell ref="A5:A7"/>
    <mergeCell ref="C5:C7"/>
    <mergeCell ref="E5:E7"/>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5B65A-5539-49C7-A0AF-E10E665AD420}">
  <dimension ref="A1:I15"/>
  <sheetViews>
    <sheetView workbookViewId="0">
      <selection activeCell="E12" sqref="E12:E14"/>
    </sheetView>
  </sheetViews>
  <sheetFormatPr baseColWidth="10" defaultRowHeight="15"/>
  <cols>
    <col min="2" max="2" width="39.28515625" customWidth="1"/>
    <col min="3" max="5" width="31" customWidth="1"/>
    <col min="6" max="6" width="46.140625" customWidth="1"/>
    <col min="9" max="9" width="18.28515625" bestFit="1" customWidth="1"/>
  </cols>
  <sheetData>
    <row r="1" spans="1:9">
      <c r="A1" s="1046" t="s">
        <v>914</v>
      </c>
      <c r="B1" s="1047"/>
      <c r="C1" s="1047"/>
      <c r="D1" s="1047"/>
      <c r="E1" s="1047"/>
      <c r="F1" s="1047"/>
    </row>
    <row r="2" spans="1:9">
      <c r="A2" s="1048" t="s">
        <v>888</v>
      </c>
      <c r="B2" s="1048"/>
      <c r="C2" s="1048"/>
      <c r="D2" s="1048"/>
      <c r="E2" s="1048"/>
      <c r="F2" s="1048"/>
    </row>
    <row r="3" spans="1:9" ht="15.75">
      <c r="A3" s="600" t="s">
        <v>787</v>
      </c>
      <c r="B3" s="600" t="s">
        <v>878</v>
      </c>
      <c r="C3" s="600" t="s">
        <v>879</v>
      </c>
      <c r="D3" s="600" t="s">
        <v>930</v>
      </c>
      <c r="E3" s="600" t="s">
        <v>788</v>
      </c>
      <c r="F3" s="600" t="s">
        <v>929</v>
      </c>
    </row>
    <row r="4" spans="1:9" ht="75" customHeight="1">
      <c r="A4" s="1044" t="s">
        <v>889</v>
      </c>
      <c r="B4" s="1052" t="s">
        <v>76</v>
      </c>
      <c r="C4" s="626" t="s">
        <v>468</v>
      </c>
      <c r="D4" s="1056" t="s">
        <v>932</v>
      </c>
      <c r="E4" s="1076">
        <v>3136460946</v>
      </c>
      <c r="F4" s="1045">
        <v>3136460946</v>
      </c>
    </row>
    <row r="5" spans="1:9" ht="30">
      <c r="A5" s="1044"/>
      <c r="B5" s="1052"/>
      <c r="C5" s="626" t="s">
        <v>470</v>
      </c>
      <c r="D5" s="1051"/>
      <c r="E5" s="1076"/>
      <c r="F5" s="1045"/>
    </row>
    <row r="6" spans="1:9" ht="45">
      <c r="A6" s="1044"/>
      <c r="B6" s="1052"/>
      <c r="C6" s="626" t="s">
        <v>471</v>
      </c>
      <c r="D6" s="1051"/>
      <c r="E6" s="1076"/>
      <c r="F6" s="1045"/>
    </row>
    <row r="7" spans="1:9" ht="30">
      <c r="A7" s="1044"/>
      <c r="B7" s="1052"/>
      <c r="C7" s="626" t="s">
        <v>472</v>
      </c>
      <c r="D7" s="1051"/>
      <c r="E7" s="1076"/>
      <c r="F7" s="1045"/>
    </row>
    <row r="8" spans="1:9" ht="30">
      <c r="A8" s="1044"/>
      <c r="B8" s="1052"/>
      <c r="C8" s="626" t="s">
        <v>475</v>
      </c>
      <c r="D8" s="1051"/>
      <c r="E8" s="1076"/>
      <c r="F8" s="1045"/>
    </row>
    <row r="9" spans="1:9" ht="30">
      <c r="A9" s="1044"/>
      <c r="B9" s="1052"/>
      <c r="C9" s="626" t="s">
        <v>476</v>
      </c>
      <c r="D9" s="1051"/>
      <c r="E9" s="1076"/>
      <c r="F9" s="1045"/>
    </row>
    <row r="10" spans="1:9" ht="30">
      <c r="A10" s="1044"/>
      <c r="B10" s="1052"/>
      <c r="C10" s="626" t="s">
        <v>772</v>
      </c>
      <c r="D10" s="1057"/>
      <c r="E10" s="1076"/>
      <c r="F10" s="1045"/>
    </row>
    <row r="11" spans="1:9" ht="45">
      <c r="A11" s="1056" t="s">
        <v>890</v>
      </c>
      <c r="B11" s="1056" t="s">
        <v>165</v>
      </c>
      <c r="C11" s="626" t="s">
        <v>721</v>
      </c>
      <c r="D11" s="633" t="s">
        <v>931</v>
      </c>
      <c r="E11" s="631">
        <v>39777089283</v>
      </c>
      <c r="F11" s="1053">
        <v>56463507663</v>
      </c>
    </row>
    <row r="12" spans="1:9" ht="60" customHeight="1">
      <c r="A12" s="1051"/>
      <c r="B12" s="1051"/>
      <c r="C12" s="626" t="s">
        <v>722</v>
      </c>
      <c r="D12" s="1070" t="s">
        <v>933</v>
      </c>
      <c r="E12" s="1073">
        <f>12547991965.475+4138426414.52</f>
        <v>16686418379.995001</v>
      </c>
      <c r="F12" s="1054"/>
    </row>
    <row r="13" spans="1:9" ht="180">
      <c r="A13" s="1051"/>
      <c r="B13" s="1051"/>
      <c r="C13" s="626" t="s">
        <v>723</v>
      </c>
      <c r="D13" s="1071"/>
      <c r="E13" s="1074"/>
      <c r="F13" s="1054"/>
      <c r="I13" s="632"/>
    </row>
    <row r="14" spans="1:9" ht="45">
      <c r="A14" s="1051"/>
      <c r="B14" s="1051"/>
      <c r="C14" s="626" t="s">
        <v>725</v>
      </c>
      <c r="D14" s="1072"/>
      <c r="E14" s="1075"/>
      <c r="F14" s="1054"/>
    </row>
    <row r="15" spans="1:9" ht="15.75">
      <c r="A15" s="605" t="s">
        <v>884</v>
      </c>
      <c r="B15" s="605"/>
      <c r="C15" s="605"/>
      <c r="D15" s="605"/>
      <c r="E15" s="605"/>
      <c r="F15" s="606">
        <f>F11+F4</f>
        <v>59599968609</v>
      </c>
    </row>
  </sheetData>
  <mergeCells count="12">
    <mergeCell ref="D12:D14"/>
    <mergeCell ref="E12:E14"/>
    <mergeCell ref="D4:D10"/>
    <mergeCell ref="E4:E10"/>
    <mergeCell ref="A1:F1"/>
    <mergeCell ref="A2:F2"/>
    <mergeCell ref="A4:A10"/>
    <mergeCell ref="B4:B10"/>
    <mergeCell ref="F4:F10"/>
    <mergeCell ref="A11:A14"/>
    <mergeCell ref="B11:B14"/>
    <mergeCell ref="F11:F14"/>
  </mergeCells>
  <pageMargins left="0.70866141732283472" right="0.70866141732283472" top="0.74803149606299213" bottom="0.74803149606299213" header="0.31496062992125984" footer="0.31496062992125984"/>
  <pageSetup scale="6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7AAEA-32EF-4BB9-A715-F2DE07E846E5}">
  <dimension ref="A1:H18"/>
  <sheetViews>
    <sheetView view="pageBreakPreview" topLeftCell="B1" zoomScale="60" zoomScaleNormal="100" workbookViewId="0">
      <selection activeCell="M10" sqref="M10"/>
    </sheetView>
  </sheetViews>
  <sheetFormatPr baseColWidth="10" defaultRowHeight="15"/>
  <cols>
    <col min="1" max="1" width="35.5703125" customWidth="1"/>
    <col min="2" max="2" width="34.140625" customWidth="1"/>
    <col min="3" max="3" width="34.85546875" customWidth="1"/>
    <col min="4" max="4" width="51.85546875" customWidth="1"/>
    <col min="5" max="5" width="34.85546875" customWidth="1"/>
    <col min="6" max="6" width="41.42578125" customWidth="1"/>
    <col min="8" max="8" width="18.28515625" bestFit="1" customWidth="1"/>
  </cols>
  <sheetData>
    <row r="1" spans="1:8">
      <c r="A1" s="1046" t="s">
        <v>914</v>
      </c>
      <c r="B1" s="1047"/>
      <c r="C1" s="1047"/>
      <c r="D1" s="1047"/>
      <c r="E1" s="1047"/>
      <c r="F1" s="1047"/>
    </row>
    <row r="2" spans="1:8">
      <c r="A2" s="1048" t="s">
        <v>885</v>
      </c>
      <c r="B2" s="1048"/>
      <c r="C2" s="1048"/>
      <c r="D2" s="1048"/>
      <c r="E2" s="1048"/>
      <c r="F2" s="1048"/>
    </row>
    <row r="3" spans="1:8" ht="15.75">
      <c r="A3" s="600" t="s">
        <v>787</v>
      </c>
      <c r="B3" s="600" t="s">
        <v>878</v>
      </c>
      <c r="C3" s="600" t="s">
        <v>879</v>
      </c>
      <c r="D3" s="600" t="s">
        <v>928</v>
      </c>
      <c r="E3" s="600" t="s">
        <v>788</v>
      </c>
      <c r="F3" s="600" t="s">
        <v>929</v>
      </c>
    </row>
    <row r="4" spans="1:8" ht="150" customHeight="1">
      <c r="A4" s="1044" t="s">
        <v>886</v>
      </c>
      <c r="B4" s="1044" t="s">
        <v>134</v>
      </c>
      <c r="C4" s="1056" t="s">
        <v>810</v>
      </c>
      <c r="D4" s="634" t="s">
        <v>934</v>
      </c>
      <c r="E4" s="631">
        <f>39748140696+E5</f>
        <v>49488026185</v>
      </c>
      <c r="F4" s="1053">
        <v>86291752748</v>
      </c>
    </row>
    <row r="5" spans="1:8" ht="150" hidden="1" customHeight="1">
      <c r="A5" s="1044"/>
      <c r="B5" s="1044"/>
      <c r="C5" s="1057"/>
      <c r="D5" s="639" t="s">
        <v>939</v>
      </c>
      <c r="E5" s="640">
        <f>7339885489+2400000000</f>
        <v>9739885489</v>
      </c>
      <c r="F5" s="1054"/>
    </row>
    <row r="6" spans="1:8" ht="30">
      <c r="A6" s="1044"/>
      <c r="B6" s="1044"/>
      <c r="C6" s="626" t="s">
        <v>815</v>
      </c>
      <c r="D6" s="1077" t="s">
        <v>935</v>
      </c>
      <c r="E6" s="1073">
        <v>22050000000</v>
      </c>
      <c r="F6" s="1054"/>
    </row>
    <row r="7" spans="1:8" ht="75">
      <c r="A7" s="1044"/>
      <c r="B7" s="1044"/>
      <c r="C7" s="626" t="s">
        <v>827</v>
      </c>
      <c r="D7" s="1078"/>
      <c r="E7" s="1075"/>
      <c r="F7" s="1054"/>
    </row>
    <row r="8" spans="1:8" ht="75" customHeight="1">
      <c r="A8" s="1044"/>
      <c r="B8" s="1044"/>
      <c r="C8" s="1056" t="s">
        <v>834</v>
      </c>
      <c r="D8" s="637" t="s">
        <v>940</v>
      </c>
      <c r="E8" s="559">
        <f>9866922452+108650000+632690880</f>
        <v>10608263332</v>
      </c>
      <c r="F8" s="1054"/>
    </row>
    <row r="9" spans="1:8">
      <c r="A9" s="1044"/>
      <c r="B9" s="1044"/>
      <c r="C9" s="1051"/>
      <c r="D9" s="627" t="s">
        <v>936</v>
      </c>
      <c r="E9" s="631">
        <v>1032521508.5</v>
      </c>
      <c r="F9" s="1054"/>
    </row>
    <row r="10" spans="1:8">
      <c r="A10" s="1044"/>
      <c r="B10" s="1044"/>
      <c r="C10" s="1051"/>
      <c r="D10" s="627" t="s">
        <v>938</v>
      </c>
      <c r="E10" s="631">
        <v>335796722</v>
      </c>
      <c r="F10" s="1054"/>
    </row>
    <row r="11" spans="1:8">
      <c r="A11" s="1044"/>
      <c r="B11" s="1044"/>
      <c r="C11" s="1051"/>
      <c r="D11" s="627" t="s">
        <v>937</v>
      </c>
      <c r="E11" s="631">
        <v>2777145000</v>
      </c>
      <c r="F11" s="1054"/>
    </row>
    <row r="12" spans="1:8" ht="60">
      <c r="A12" s="1051" t="s">
        <v>887</v>
      </c>
      <c r="B12" s="1051" t="s">
        <v>160</v>
      </c>
      <c r="C12" s="626" t="s">
        <v>839</v>
      </c>
      <c r="D12" s="636"/>
      <c r="E12" s="635"/>
      <c r="F12" s="1054"/>
    </row>
    <row r="13" spans="1:8" ht="105">
      <c r="A13" s="1051"/>
      <c r="B13" s="1051"/>
      <c r="C13" s="626" t="s">
        <v>838</v>
      </c>
      <c r="D13" s="627"/>
      <c r="E13" s="631"/>
      <c r="F13" s="1055"/>
    </row>
    <row r="14" spans="1:8" ht="15.75">
      <c r="A14" s="605" t="s">
        <v>884</v>
      </c>
      <c r="B14" s="605"/>
      <c r="C14" s="605"/>
      <c r="D14" s="605"/>
      <c r="E14" s="638">
        <f>E11+E10+E9+E8+E6+E4</f>
        <v>86291752747.5</v>
      </c>
      <c r="F14" s="606">
        <f>F4+F9</f>
        <v>86291752748</v>
      </c>
      <c r="H14" s="632">
        <f>F14-E14</f>
        <v>0.5</v>
      </c>
    </row>
    <row r="18" spans="8:8">
      <c r="H18">
        <f>7339885489+2400000000</f>
        <v>9739885489</v>
      </c>
    </row>
  </sheetData>
  <mergeCells count="11">
    <mergeCell ref="A12:A13"/>
    <mergeCell ref="A4:A11"/>
    <mergeCell ref="B4:B11"/>
    <mergeCell ref="A1:F1"/>
    <mergeCell ref="A2:F2"/>
    <mergeCell ref="C4:C5"/>
    <mergeCell ref="D6:D7"/>
    <mergeCell ref="E6:E7"/>
    <mergeCell ref="C8:C11"/>
    <mergeCell ref="F4:F13"/>
    <mergeCell ref="B12:B13"/>
  </mergeCells>
  <pageMargins left="0.70866141732283472" right="0.70866141732283472" top="0.74803149606299213" bottom="0.74803149606299213" header="0.31496062992125984" footer="0.31496062992125984"/>
  <pageSetup scale="52" orientation="landscape"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EC46B-4087-4894-884E-09EC9CC8A8D3}">
  <dimension ref="A1:AX65"/>
  <sheetViews>
    <sheetView zoomScale="60" zoomScaleNormal="60" workbookViewId="0">
      <pane ySplit="6" topLeftCell="A37" activePane="bottomLeft" state="frozen"/>
      <selection pane="bottomLeft" activeCell="A64" sqref="A64"/>
    </sheetView>
  </sheetViews>
  <sheetFormatPr baseColWidth="10" defaultColWidth="11.42578125" defaultRowHeight="14.25"/>
  <cols>
    <col min="1" max="1" width="30.85546875" style="3" customWidth="1"/>
    <col min="2" max="2" width="28.42578125" style="3" customWidth="1"/>
    <col min="3" max="3" width="24" style="3" customWidth="1"/>
    <col min="4" max="4" width="30.42578125" style="3" customWidth="1"/>
    <col min="5" max="5" width="32" style="3" bestFit="1" customWidth="1"/>
    <col min="6" max="6" width="20.28515625" style="3" customWidth="1"/>
    <col min="7" max="7" width="37.42578125" style="3" customWidth="1"/>
    <col min="8" max="8" width="15" style="3" hidden="1" customWidth="1"/>
    <col min="9" max="10" width="12.7109375" style="2" hidden="1" customWidth="1"/>
    <col min="11" max="11" width="38.42578125" style="2" hidden="1" customWidth="1"/>
    <col min="12" max="12" width="57.42578125" style="2" hidden="1" customWidth="1"/>
    <col min="13" max="13" width="38.140625" style="5" customWidth="1"/>
    <col min="14" max="15" width="15" style="3" customWidth="1"/>
    <col min="16" max="16" width="16.28515625" style="3" customWidth="1"/>
    <col min="17" max="17" width="16.7109375" style="3" customWidth="1"/>
    <col min="18" max="18" width="16.85546875" style="3" customWidth="1"/>
    <col min="19" max="19" width="18" style="3" customWidth="1"/>
    <col min="20" max="20" width="20.140625" style="7" customWidth="1"/>
    <col min="21" max="21" width="21.42578125" style="3" customWidth="1"/>
    <col min="22" max="22" width="27.7109375" style="8" customWidth="1"/>
    <col min="23" max="23" width="25.42578125" style="8" bestFit="1" customWidth="1"/>
    <col min="24" max="33" width="25.42578125" style="8" customWidth="1"/>
    <col min="34" max="36" width="34.28515625" style="8" customWidth="1"/>
    <col min="37" max="42" width="43.85546875" style="8" customWidth="1"/>
    <col min="43" max="43" width="20" style="3" customWidth="1"/>
    <col min="44" max="44" width="20.140625" style="3" customWidth="1"/>
    <col min="45" max="45" width="30.28515625" style="2" hidden="1" customWidth="1"/>
    <col min="46" max="47" width="17.42578125" style="2" customWidth="1"/>
    <col min="48" max="48" width="21.140625" style="2" customWidth="1"/>
    <col min="49" max="49" width="16.7109375" style="2" customWidth="1"/>
    <col min="50" max="50" width="20.140625" style="2" customWidth="1"/>
    <col min="51" max="16384" width="11.42578125" style="2"/>
  </cols>
  <sheetData>
    <row r="1" spans="1:50" s="218" customFormat="1" ht="30.75" customHeight="1" thickTop="1" thickBot="1">
      <c r="A1" s="807" t="s">
        <v>585</v>
      </c>
      <c r="B1" s="807"/>
      <c r="C1" s="807"/>
      <c r="D1" s="807"/>
      <c r="E1" s="807"/>
      <c r="F1" s="807"/>
      <c r="G1" s="807"/>
      <c r="H1" s="807"/>
      <c r="I1" s="807"/>
      <c r="J1" s="807"/>
      <c r="K1" s="807"/>
      <c r="L1" s="807"/>
      <c r="M1" s="807"/>
      <c r="N1" s="807"/>
      <c r="O1" s="807"/>
      <c r="P1" s="807"/>
      <c r="Q1" s="807"/>
      <c r="R1" s="807"/>
      <c r="S1" s="807"/>
      <c r="T1" s="807"/>
      <c r="U1" s="807"/>
      <c r="V1" s="807"/>
      <c r="W1" s="807"/>
      <c r="X1" s="807"/>
      <c r="Y1" s="807"/>
      <c r="Z1" s="807"/>
      <c r="AA1" s="807"/>
      <c r="AB1" s="807"/>
      <c r="AC1" s="807"/>
      <c r="AD1" s="807"/>
      <c r="AE1" s="807"/>
      <c r="AF1" s="807"/>
      <c r="AG1" s="807"/>
      <c r="AH1" s="807"/>
      <c r="AI1" s="807"/>
      <c r="AJ1" s="807"/>
      <c r="AK1" s="807"/>
      <c r="AL1" s="807"/>
      <c r="AM1" s="807"/>
      <c r="AN1" s="807"/>
      <c r="AO1" s="807"/>
      <c r="AP1" s="807"/>
      <c r="AQ1" s="807"/>
      <c r="AR1" s="807"/>
      <c r="AS1" s="24"/>
      <c r="AT1" s="790" t="s">
        <v>34</v>
      </c>
      <c r="AU1" s="790"/>
      <c r="AV1" s="790"/>
      <c r="AW1" s="790"/>
      <c r="AX1" s="791"/>
    </row>
    <row r="2" spans="1:50" s="218" customFormat="1" ht="27.95" customHeight="1" thickTop="1" thickBot="1">
      <c r="A2" s="774" t="s">
        <v>586</v>
      </c>
      <c r="B2" s="774"/>
      <c r="C2" s="774"/>
      <c r="D2" s="774"/>
      <c r="E2" s="774"/>
      <c r="F2" s="774"/>
      <c r="G2" s="774"/>
      <c r="H2" s="774"/>
      <c r="I2" s="774"/>
      <c r="J2" s="774"/>
      <c r="K2" s="774"/>
      <c r="L2" s="774"/>
      <c r="M2" s="774"/>
      <c r="N2" s="774"/>
      <c r="O2" s="774"/>
      <c r="P2" s="774"/>
      <c r="Q2" s="774"/>
      <c r="R2" s="774"/>
      <c r="S2" s="774"/>
      <c r="T2" s="774"/>
      <c r="U2" s="774"/>
      <c r="V2" s="774"/>
      <c r="W2" s="774"/>
      <c r="X2" s="774"/>
      <c r="Y2" s="774"/>
      <c r="Z2" s="774"/>
      <c r="AA2" s="774"/>
      <c r="AB2" s="774"/>
      <c r="AC2" s="774"/>
      <c r="AD2" s="774"/>
      <c r="AE2" s="774"/>
      <c r="AF2" s="774"/>
      <c r="AG2" s="774"/>
      <c r="AH2" s="774"/>
      <c r="AI2" s="774"/>
      <c r="AJ2" s="774"/>
      <c r="AK2" s="774"/>
      <c r="AL2" s="774"/>
      <c r="AM2" s="774"/>
      <c r="AN2" s="774"/>
      <c r="AO2" s="774"/>
      <c r="AP2" s="774"/>
      <c r="AQ2" s="774"/>
      <c r="AR2" s="774"/>
      <c r="AS2" s="24"/>
      <c r="AT2" s="294" t="s">
        <v>35</v>
      </c>
      <c r="AU2" s="22" t="s">
        <v>36</v>
      </c>
      <c r="AV2" s="18" t="s">
        <v>37</v>
      </c>
      <c r="AW2" s="18" t="s">
        <v>38</v>
      </c>
      <c r="AX2" s="18" t="s">
        <v>29</v>
      </c>
    </row>
    <row r="3" spans="1:50" s="218" customFormat="1" ht="25.5" customHeight="1" thickTop="1" thickBot="1">
      <c r="A3" s="297"/>
      <c r="B3" s="828" t="s">
        <v>49</v>
      </c>
      <c r="C3" s="828"/>
      <c r="D3" s="828"/>
      <c r="E3" s="828"/>
      <c r="F3" s="828"/>
      <c r="G3" s="828"/>
      <c r="H3" s="828"/>
      <c r="I3" s="828"/>
      <c r="J3" s="828"/>
      <c r="K3" s="828"/>
      <c r="L3" s="828"/>
      <c r="M3" s="828"/>
      <c r="N3" s="828"/>
      <c r="O3" s="828"/>
      <c r="P3" s="828"/>
      <c r="Q3" s="828"/>
      <c r="R3" s="828"/>
      <c r="S3" s="828"/>
      <c r="T3" s="828"/>
      <c r="U3" s="828"/>
      <c r="V3" s="828"/>
      <c r="W3" s="828"/>
      <c r="X3" s="828"/>
      <c r="Y3" s="828"/>
      <c r="Z3" s="828"/>
      <c r="AA3" s="828"/>
      <c r="AB3" s="828"/>
      <c r="AC3" s="828"/>
      <c r="AD3" s="828"/>
      <c r="AE3" s="828"/>
      <c r="AF3" s="828"/>
      <c r="AG3" s="828"/>
      <c r="AH3" s="828"/>
      <c r="AI3" s="828"/>
      <c r="AJ3" s="828"/>
      <c r="AK3" s="828"/>
      <c r="AL3" s="828"/>
      <c r="AM3" s="828"/>
      <c r="AN3" s="828"/>
      <c r="AO3" s="828"/>
      <c r="AP3" s="828"/>
      <c r="AQ3" s="828"/>
      <c r="AR3" s="828"/>
      <c r="AS3" s="25"/>
      <c r="AT3" s="30"/>
      <c r="AU3" s="23"/>
      <c r="AV3" s="19"/>
      <c r="AW3" s="20"/>
      <c r="AX3" s="21"/>
    </row>
    <row r="4" spans="1:50" s="218" customFormat="1" ht="27.95" customHeight="1" thickTop="1" thickBot="1">
      <c r="A4" s="775" t="s">
        <v>583</v>
      </c>
      <c r="B4" s="775"/>
      <c r="C4" s="775"/>
      <c r="D4" s="775"/>
      <c r="E4" s="775"/>
      <c r="F4" s="775"/>
      <c r="G4" s="775"/>
      <c r="H4" s="775"/>
      <c r="I4" s="775"/>
      <c r="J4" s="775"/>
      <c r="K4" s="775"/>
      <c r="L4" s="775"/>
      <c r="M4" s="775"/>
      <c r="N4" s="775"/>
      <c r="O4" s="775"/>
      <c r="P4" s="775"/>
      <c r="Q4" s="775"/>
      <c r="R4" s="775"/>
      <c r="S4" s="775"/>
      <c r="T4" s="775"/>
      <c r="U4" s="775"/>
      <c r="V4" s="775"/>
      <c r="W4" s="775"/>
      <c r="X4" s="775"/>
      <c r="Y4" s="775"/>
      <c r="Z4" s="775"/>
      <c r="AA4" s="775"/>
      <c r="AB4" s="775"/>
      <c r="AC4" s="775"/>
      <c r="AD4" s="775"/>
      <c r="AE4" s="775"/>
      <c r="AF4" s="775"/>
      <c r="AG4" s="775"/>
      <c r="AH4" s="775"/>
      <c r="AI4" s="775"/>
      <c r="AJ4" s="775"/>
      <c r="AK4" s="775"/>
      <c r="AL4" s="775"/>
      <c r="AM4" s="775"/>
      <c r="AN4" s="775"/>
      <c r="AO4" s="775"/>
      <c r="AP4" s="775"/>
      <c r="AQ4" s="775"/>
      <c r="AR4" s="775"/>
      <c r="AS4" s="25"/>
      <c r="AT4" s="30"/>
      <c r="AU4" s="23"/>
      <c r="AV4" s="19"/>
      <c r="AW4" s="20"/>
      <c r="AX4" s="21"/>
    </row>
    <row r="5" spans="1:50" ht="27.95" customHeight="1" thickTop="1" thickBot="1">
      <c r="A5" s="873"/>
      <c r="B5" s="873"/>
      <c r="C5" s="873" t="s">
        <v>45</v>
      </c>
      <c r="D5" s="873"/>
      <c r="E5" s="873"/>
      <c r="F5" s="385"/>
      <c r="G5" s="873" t="s">
        <v>311</v>
      </c>
      <c r="H5" s="873"/>
      <c r="I5" s="873"/>
      <c r="J5" s="873"/>
      <c r="K5" s="864" t="s">
        <v>44</v>
      </c>
      <c r="L5" s="864" t="s">
        <v>10</v>
      </c>
      <c r="M5" s="865" t="s">
        <v>1</v>
      </c>
      <c r="N5" s="863" t="s">
        <v>48</v>
      </c>
      <c r="O5" s="863" t="s">
        <v>2</v>
      </c>
      <c r="P5" s="863" t="s">
        <v>3</v>
      </c>
      <c r="Q5" s="863" t="s">
        <v>4</v>
      </c>
      <c r="R5" s="863" t="s">
        <v>5</v>
      </c>
      <c r="S5" s="863" t="s">
        <v>6</v>
      </c>
      <c r="T5" s="872" t="s">
        <v>7</v>
      </c>
      <c r="U5" s="872"/>
      <c r="V5" s="872"/>
      <c r="W5" s="872"/>
      <c r="X5" s="866" t="s">
        <v>564</v>
      </c>
      <c r="Y5" s="866"/>
      <c r="Z5" s="866"/>
      <c r="AA5" s="866"/>
      <c r="AB5" s="866"/>
      <c r="AC5" s="866"/>
      <c r="AD5" s="866"/>
      <c r="AE5" s="866"/>
      <c r="AF5" s="866"/>
      <c r="AG5" s="866"/>
      <c r="AH5" s="866"/>
      <c r="AI5" s="866"/>
      <c r="AJ5" s="866"/>
      <c r="AK5" s="866"/>
      <c r="AL5" s="866"/>
      <c r="AM5" s="866"/>
      <c r="AN5" s="866"/>
      <c r="AO5" s="866"/>
      <c r="AP5" s="866"/>
      <c r="AQ5" s="863" t="s">
        <v>8</v>
      </c>
      <c r="AR5" s="863" t="s">
        <v>9</v>
      </c>
      <c r="AS5" s="166"/>
      <c r="AT5" s="22" t="s">
        <v>39</v>
      </c>
      <c r="AU5" s="17" t="s">
        <v>30</v>
      </c>
      <c r="AV5" s="18" t="s">
        <v>31</v>
      </c>
      <c r="AW5" s="18" t="s">
        <v>32</v>
      </c>
      <c r="AX5" s="18" t="s">
        <v>33</v>
      </c>
    </row>
    <row r="6" spans="1:50" ht="68.25" customHeight="1" thickTop="1">
      <c r="A6" s="332" t="s">
        <v>42</v>
      </c>
      <c r="B6" s="332" t="s">
        <v>43</v>
      </c>
      <c r="C6" s="332" t="s">
        <v>11</v>
      </c>
      <c r="D6" s="332" t="s">
        <v>52</v>
      </c>
      <c r="E6" s="332" t="s">
        <v>47</v>
      </c>
      <c r="F6" s="332" t="s">
        <v>41</v>
      </c>
      <c r="G6" s="333" t="s">
        <v>46</v>
      </c>
      <c r="H6" s="332" t="s">
        <v>52</v>
      </c>
      <c r="I6" s="332" t="s">
        <v>12</v>
      </c>
      <c r="J6" s="332" t="s">
        <v>47</v>
      </c>
      <c r="K6" s="864"/>
      <c r="L6" s="864"/>
      <c r="M6" s="865"/>
      <c r="N6" s="863"/>
      <c r="O6" s="863"/>
      <c r="P6" s="863"/>
      <c r="Q6" s="863"/>
      <c r="R6" s="863"/>
      <c r="S6" s="863"/>
      <c r="T6" s="332" t="s">
        <v>13</v>
      </c>
      <c r="U6" s="332" t="s">
        <v>14</v>
      </c>
      <c r="V6" s="293" t="s">
        <v>15</v>
      </c>
      <c r="W6" s="293" t="s">
        <v>16</v>
      </c>
      <c r="X6" s="296" t="s">
        <v>565</v>
      </c>
      <c r="Y6" s="296" t="s">
        <v>566</v>
      </c>
      <c r="Z6" s="296" t="s">
        <v>567</v>
      </c>
      <c r="AA6" s="296" t="s">
        <v>568</v>
      </c>
      <c r="AB6" s="296" t="s">
        <v>569</v>
      </c>
      <c r="AC6" s="296" t="s">
        <v>570</v>
      </c>
      <c r="AD6" s="296" t="s">
        <v>571</v>
      </c>
      <c r="AE6" s="296" t="s">
        <v>572</v>
      </c>
      <c r="AF6" s="296" t="s">
        <v>573</v>
      </c>
      <c r="AG6" s="296" t="s">
        <v>574</v>
      </c>
      <c r="AH6" s="296" t="s">
        <v>575</v>
      </c>
      <c r="AI6" s="296" t="s">
        <v>576</v>
      </c>
      <c r="AJ6" s="296" t="s">
        <v>577</v>
      </c>
      <c r="AK6" s="296" t="s">
        <v>578</v>
      </c>
      <c r="AL6" s="296" t="s">
        <v>579</v>
      </c>
      <c r="AM6" s="296" t="s">
        <v>580</v>
      </c>
      <c r="AN6" s="296" t="s">
        <v>581</v>
      </c>
      <c r="AO6" s="296" t="s">
        <v>584</v>
      </c>
      <c r="AP6" s="296" t="s">
        <v>582</v>
      </c>
      <c r="AQ6" s="863"/>
      <c r="AR6" s="863" t="s">
        <v>9</v>
      </c>
      <c r="AS6" s="166"/>
    </row>
    <row r="7" spans="1:50" s="218" customFormat="1" ht="131.25" customHeight="1">
      <c r="A7" s="870" t="s">
        <v>219</v>
      </c>
      <c r="B7" s="871" t="s">
        <v>62</v>
      </c>
      <c r="C7" s="870" t="s">
        <v>59</v>
      </c>
      <c r="D7" s="870" t="s">
        <v>53</v>
      </c>
      <c r="E7" s="870">
        <v>40</v>
      </c>
      <c r="F7" s="870" t="s">
        <v>54</v>
      </c>
      <c r="G7" s="39" t="s">
        <v>55</v>
      </c>
      <c r="H7" s="39" t="s">
        <v>17</v>
      </c>
      <c r="I7" s="40">
        <v>1</v>
      </c>
      <c r="J7" s="300">
        <v>0</v>
      </c>
      <c r="K7" s="874"/>
      <c r="L7" s="874" t="s">
        <v>61</v>
      </c>
      <c r="M7" s="42" t="s">
        <v>362</v>
      </c>
      <c r="N7" s="299">
        <v>1</v>
      </c>
      <c r="O7" s="299" t="s">
        <v>17</v>
      </c>
      <c r="P7" s="299">
        <v>0</v>
      </c>
      <c r="Q7" s="299">
        <v>0</v>
      </c>
      <c r="R7" s="299">
        <v>1</v>
      </c>
      <c r="S7" s="299">
        <v>0</v>
      </c>
      <c r="T7" s="299" t="s">
        <v>23</v>
      </c>
      <c r="U7" s="875"/>
      <c r="V7" s="876">
        <f>100800000+230818764+41340218</f>
        <v>372958982</v>
      </c>
      <c r="W7" s="876">
        <f>V7</f>
        <v>372958982</v>
      </c>
      <c r="X7" s="310"/>
      <c r="Y7" s="301"/>
      <c r="Z7" s="301"/>
      <c r="AA7" s="301"/>
      <c r="AB7" s="301">
        <v>38984954</v>
      </c>
      <c r="AC7" s="301">
        <v>38984954</v>
      </c>
      <c r="AD7" s="310">
        <v>0</v>
      </c>
      <c r="AE7" s="301"/>
      <c r="AF7" s="301"/>
      <c r="AG7" s="301"/>
      <c r="AH7" s="301"/>
      <c r="AI7" s="301"/>
      <c r="AJ7" s="301"/>
      <c r="AK7" s="301"/>
      <c r="AL7" s="301"/>
      <c r="AM7" s="301"/>
      <c r="AN7" s="301"/>
      <c r="AO7" s="301"/>
      <c r="AP7" s="301"/>
      <c r="AQ7" s="299" t="s">
        <v>25</v>
      </c>
      <c r="AR7" s="299" t="s">
        <v>25</v>
      </c>
      <c r="AS7" s="867" t="s">
        <v>347</v>
      </c>
    </row>
    <row r="8" spans="1:50" s="218" customFormat="1" ht="131.25" customHeight="1">
      <c r="A8" s="870"/>
      <c r="B8" s="871"/>
      <c r="C8" s="870"/>
      <c r="D8" s="870"/>
      <c r="E8" s="870"/>
      <c r="F8" s="870"/>
      <c r="G8" s="870" t="s">
        <v>56</v>
      </c>
      <c r="H8" s="870" t="s">
        <v>17</v>
      </c>
      <c r="I8" s="880">
        <v>1</v>
      </c>
      <c r="J8" s="874">
        <v>0</v>
      </c>
      <c r="K8" s="874"/>
      <c r="L8" s="874"/>
      <c r="M8" s="42" t="s">
        <v>363</v>
      </c>
      <c r="N8" s="299">
        <v>1</v>
      </c>
      <c r="O8" s="299" t="s">
        <v>17</v>
      </c>
      <c r="P8" s="299">
        <v>0</v>
      </c>
      <c r="Q8" s="299">
        <v>1</v>
      </c>
      <c r="R8" s="299">
        <v>0</v>
      </c>
      <c r="S8" s="299">
        <v>0</v>
      </c>
      <c r="T8" s="299"/>
      <c r="U8" s="875"/>
      <c r="V8" s="876"/>
      <c r="W8" s="876"/>
      <c r="X8" s="310"/>
      <c r="Y8" s="301"/>
      <c r="Z8" s="301"/>
      <c r="AA8" s="301"/>
      <c r="AB8" s="301">
        <v>38984953</v>
      </c>
      <c r="AC8" s="301">
        <v>38984953</v>
      </c>
      <c r="AD8" s="310">
        <v>0</v>
      </c>
      <c r="AE8" s="301"/>
      <c r="AF8" s="301"/>
      <c r="AG8" s="301"/>
      <c r="AH8" s="301"/>
      <c r="AI8" s="301"/>
      <c r="AJ8" s="301"/>
      <c r="AK8" s="301"/>
      <c r="AL8" s="301"/>
      <c r="AM8" s="301"/>
      <c r="AN8" s="301"/>
      <c r="AO8" s="301"/>
      <c r="AP8" s="301"/>
      <c r="AQ8" s="299" t="s">
        <v>25</v>
      </c>
      <c r="AR8" s="299" t="s">
        <v>25</v>
      </c>
      <c r="AS8" s="868"/>
    </row>
    <row r="9" spans="1:50" s="218" customFormat="1" ht="90.75" customHeight="1">
      <c r="A9" s="870"/>
      <c r="B9" s="871"/>
      <c r="C9" s="38" t="s">
        <v>60</v>
      </c>
      <c r="D9" s="299" t="s">
        <v>53</v>
      </c>
      <c r="E9" s="299">
        <v>100</v>
      </c>
      <c r="F9" s="870"/>
      <c r="G9" s="870"/>
      <c r="H9" s="870"/>
      <c r="I9" s="880"/>
      <c r="J9" s="874"/>
      <c r="K9" s="874"/>
      <c r="L9" s="874"/>
      <c r="M9" s="42" t="s">
        <v>364</v>
      </c>
      <c r="N9" s="299">
        <v>1</v>
      </c>
      <c r="O9" s="299" t="s">
        <v>17</v>
      </c>
      <c r="P9" s="299">
        <v>0</v>
      </c>
      <c r="Q9" s="299">
        <v>0</v>
      </c>
      <c r="R9" s="299">
        <v>1</v>
      </c>
      <c r="S9" s="299">
        <v>0</v>
      </c>
      <c r="T9" s="299" t="s">
        <v>23</v>
      </c>
      <c r="U9" s="44"/>
      <c r="V9" s="301">
        <v>100800000</v>
      </c>
      <c r="W9" s="301">
        <f t="shared" ref="W9:W12" si="0">V9</f>
        <v>100800000</v>
      </c>
      <c r="X9" s="310"/>
      <c r="Y9" s="301"/>
      <c r="Z9" s="301"/>
      <c r="AA9" s="301"/>
      <c r="AB9" s="301">
        <v>24360000</v>
      </c>
      <c r="AC9" s="301">
        <v>24360000</v>
      </c>
      <c r="AD9" s="310">
        <v>0</v>
      </c>
      <c r="AE9" s="301"/>
      <c r="AF9" s="301"/>
      <c r="AG9" s="301"/>
      <c r="AH9" s="301"/>
      <c r="AI9" s="301"/>
      <c r="AJ9" s="301"/>
      <c r="AK9" s="301"/>
      <c r="AL9" s="301"/>
      <c r="AM9" s="301"/>
      <c r="AN9" s="301"/>
      <c r="AO9" s="301"/>
      <c r="AP9" s="301"/>
      <c r="AQ9" s="299" t="s">
        <v>25</v>
      </c>
      <c r="AR9" s="299" t="s">
        <v>25</v>
      </c>
      <c r="AS9" s="868"/>
    </row>
    <row r="10" spans="1:50" s="218" customFormat="1" ht="93.75" customHeight="1">
      <c r="A10" s="870"/>
      <c r="B10" s="871"/>
      <c r="C10" s="38" t="s">
        <v>58</v>
      </c>
      <c r="D10" s="299" t="s">
        <v>53</v>
      </c>
      <c r="E10" s="299">
        <v>60</v>
      </c>
      <c r="F10" s="870"/>
      <c r="G10" s="39" t="s">
        <v>57</v>
      </c>
      <c r="H10" s="39" t="s">
        <v>17</v>
      </c>
      <c r="I10" s="40">
        <v>0</v>
      </c>
      <c r="J10" s="300">
        <v>8</v>
      </c>
      <c r="K10" s="874"/>
      <c r="L10" s="874"/>
      <c r="M10" s="42" t="s">
        <v>361</v>
      </c>
      <c r="N10" s="299">
        <v>8</v>
      </c>
      <c r="O10" s="299" t="s">
        <v>17</v>
      </c>
      <c r="P10" s="299">
        <v>1</v>
      </c>
      <c r="Q10" s="299">
        <v>3</v>
      </c>
      <c r="R10" s="299">
        <v>2</v>
      </c>
      <c r="S10" s="299">
        <v>2</v>
      </c>
      <c r="T10" s="299" t="s">
        <v>23</v>
      </c>
      <c r="U10" s="44"/>
      <c r="V10" s="301">
        <v>73184589</v>
      </c>
      <c r="W10" s="301">
        <f t="shared" si="0"/>
        <v>73184589</v>
      </c>
      <c r="X10" s="310"/>
      <c r="Y10" s="301"/>
      <c r="Z10" s="301"/>
      <c r="AA10" s="301"/>
      <c r="AB10" s="301">
        <v>18731769</v>
      </c>
      <c r="AC10" s="301">
        <v>18731769</v>
      </c>
      <c r="AD10" s="310">
        <v>0</v>
      </c>
      <c r="AE10" s="301"/>
      <c r="AF10" s="301"/>
      <c r="AG10" s="301"/>
      <c r="AH10" s="301"/>
      <c r="AI10" s="301"/>
      <c r="AJ10" s="301"/>
      <c r="AK10" s="301"/>
      <c r="AL10" s="301"/>
      <c r="AM10" s="301"/>
      <c r="AN10" s="301"/>
      <c r="AO10" s="301"/>
      <c r="AP10" s="301"/>
      <c r="AQ10" s="299" t="s">
        <v>25</v>
      </c>
      <c r="AR10" s="299" t="s">
        <v>25</v>
      </c>
      <c r="AS10" s="869"/>
    </row>
    <row r="11" spans="1:50" s="218" customFormat="1" ht="93.75" customHeight="1">
      <c r="A11" s="881" t="s">
        <v>607</v>
      </c>
      <c r="B11" s="881"/>
      <c r="C11" s="881"/>
      <c r="D11" s="881"/>
      <c r="E11" s="881"/>
      <c r="F11" s="881"/>
      <c r="G11" s="881"/>
      <c r="H11" s="881"/>
      <c r="I11" s="881"/>
      <c r="J11" s="881"/>
      <c r="K11" s="881"/>
      <c r="L11" s="881"/>
      <c r="M11" s="881"/>
      <c r="N11" s="188">
        <f>SUM(N7:N10)</f>
        <v>11</v>
      </c>
      <c r="O11" s="188"/>
      <c r="P11" s="188">
        <f>SUM(P7:P10)</f>
        <v>1</v>
      </c>
      <c r="Q11" s="188">
        <f t="shared" ref="Q11:S11" si="1">SUM(Q7:Q10)</f>
        <v>4</v>
      </c>
      <c r="R11" s="188">
        <f t="shared" si="1"/>
        <v>4</v>
      </c>
      <c r="S11" s="188">
        <f t="shared" si="1"/>
        <v>2</v>
      </c>
      <c r="T11" s="188"/>
      <c r="U11" s="112"/>
      <c r="V11" s="324">
        <f>V10+V9+V7</f>
        <v>546943571</v>
      </c>
      <c r="W11" s="480">
        <f>W10+W9+W7</f>
        <v>546943571</v>
      </c>
      <c r="X11" s="323">
        <f>SUM(X7:X10)</f>
        <v>0</v>
      </c>
      <c r="Y11" s="323">
        <f t="shared" ref="Y11:AA11" si="2">SUM(Y7:Y10)</f>
        <v>0</v>
      </c>
      <c r="Z11" s="323">
        <f t="shared" si="2"/>
        <v>0</v>
      </c>
      <c r="AA11" s="323">
        <f t="shared" si="2"/>
        <v>0</v>
      </c>
      <c r="AB11" s="324">
        <f>SUM(AB7:AB10)</f>
        <v>121061676</v>
      </c>
      <c r="AC11" s="324">
        <f t="shared" ref="AC11:AE11" si="3">SUM(AC7:AC10)</f>
        <v>121061676</v>
      </c>
      <c r="AD11" s="324">
        <f t="shared" si="3"/>
        <v>0</v>
      </c>
      <c r="AE11" s="324">
        <f t="shared" si="3"/>
        <v>0</v>
      </c>
      <c r="AF11" s="324">
        <f>SUM(AF7:AF10)</f>
        <v>0</v>
      </c>
      <c r="AG11" s="324">
        <f t="shared" ref="AG11" si="4">SUM(AG7:AG10)</f>
        <v>0</v>
      </c>
      <c r="AH11" s="324"/>
      <c r="AI11" s="324"/>
      <c r="AJ11" s="324"/>
      <c r="AK11" s="324"/>
      <c r="AL11" s="324"/>
      <c r="AM11" s="324"/>
      <c r="AN11" s="324"/>
      <c r="AO11" s="324"/>
      <c r="AP11" s="324"/>
      <c r="AQ11" s="188"/>
      <c r="AR11" s="188"/>
      <c r="AS11" s="298"/>
    </row>
    <row r="12" spans="1:50" s="218" customFormat="1" ht="115.5" customHeight="1">
      <c r="A12" s="870" t="s">
        <v>324</v>
      </c>
      <c r="B12" s="870" t="s">
        <v>325</v>
      </c>
      <c r="C12" s="870" t="s">
        <v>326</v>
      </c>
      <c r="D12" s="870" t="s">
        <v>82</v>
      </c>
      <c r="E12" s="870">
        <v>1.47</v>
      </c>
      <c r="F12" s="870" t="s">
        <v>327</v>
      </c>
      <c r="G12" s="39" t="s">
        <v>64</v>
      </c>
      <c r="H12" s="39" t="s">
        <v>18</v>
      </c>
      <c r="I12" s="40">
        <v>20</v>
      </c>
      <c r="J12" s="300">
        <v>70</v>
      </c>
      <c r="K12" s="874"/>
      <c r="L12" s="874" t="s">
        <v>328</v>
      </c>
      <c r="M12" s="51" t="s">
        <v>392</v>
      </c>
      <c r="N12" s="299">
        <v>3</v>
      </c>
      <c r="O12" s="299" t="s">
        <v>17</v>
      </c>
      <c r="P12" s="299">
        <v>0</v>
      </c>
      <c r="Q12" s="299">
        <v>1</v>
      </c>
      <c r="R12" s="299">
        <v>1</v>
      </c>
      <c r="S12" s="299">
        <v>1</v>
      </c>
      <c r="T12" s="299" t="s">
        <v>23</v>
      </c>
      <c r="U12" s="875"/>
      <c r="V12" s="876">
        <f>63000000+48000000</f>
        <v>111000000</v>
      </c>
      <c r="W12" s="876">
        <f t="shared" si="0"/>
        <v>111000000</v>
      </c>
      <c r="X12" s="310"/>
      <c r="Y12" s="301"/>
      <c r="Z12" s="301"/>
      <c r="AA12" s="301"/>
      <c r="AB12" s="301">
        <v>5443333</v>
      </c>
      <c r="AC12" s="472">
        <v>5443333</v>
      </c>
      <c r="AD12" s="301"/>
      <c r="AE12" s="301"/>
      <c r="AF12" s="301"/>
      <c r="AG12" s="301"/>
      <c r="AH12" s="301"/>
      <c r="AI12" s="301"/>
      <c r="AJ12" s="301"/>
      <c r="AK12" s="301"/>
      <c r="AL12" s="301"/>
      <c r="AM12" s="301"/>
      <c r="AN12" s="301"/>
      <c r="AO12" s="301"/>
      <c r="AP12" s="301"/>
      <c r="AQ12" s="299" t="s">
        <v>21</v>
      </c>
      <c r="AR12" s="299" t="s">
        <v>21</v>
      </c>
      <c r="AS12" s="867" t="s">
        <v>355</v>
      </c>
    </row>
    <row r="13" spans="1:50" s="218" customFormat="1" ht="113.25" customHeight="1">
      <c r="A13" s="870"/>
      <c r="B13" s="870"/>
      <c r="C13" s="870"/>
      <c r="D13" s="870"/>
      <c r="E13" s="870"/>
      <c r="F13" s="870"/>
      <c r="G13" s="39" t="s">
        <v>65</v>
      </c>
      <c r="H13" s="39" t="s">
        <v>18</v>
      </c>
      <c r="I13" s="40">
        <v>20</v>
      </c>
      <c r="J13" s="300">
        <v>100</v>
      </c>
      <c r="K13" s="874"/>
      <c r="L13" s="874"/>
      <c r="M13" s="191" t="s">
        <v>393</v>
      </c>
      <c r="N13" s="299">
        <v>1</v>
      </c>
      <c r="O13" s="299" t="s">
        <v>259</v>
      </c>
      <c r="P13" s="299">
        <v>0</v>
      </c>
      <c r="Q13" s="299">
        <v>0</v>
      </c>
      <c r="R13" s="299">
        <v>0</v>
      </c>
      <c r="S13" s="299">
        <v>1</v>
      </c>
      <c r="T13" s="299" t="s">
        <v>23</v>
      </c>
      <c r="U13" s="875"/>
      <c r="V13" s="876"/>
      <c r="W13" s="876"/>
      <c r="X13" s="310"/>
      <c r="Y13" s="301"/>
      <c r="Z13" s="301"/>
      <c r="AA13" s="301"/>
      <c r="AB13" s="425">
        <v>5443333</v>
      </c>
      <c r="AC13" s="472">
        <v>5443333</v>
      </c>
      <c r="AD13" s="301"/>
      <c r="AE13" s="301"/>
      <c r="AF13" s="301"/>
      <c r="AG13" s="301"/>
      <c r="AH13" s="301"/>
      <c r="AI13" s="301"/>
      <c r="AJ13" s="301"/>
      <c r="AK13" s="301"/>
      <c r="AL13" s="301"/>
      <c r="AM13" s="301"/>
      <c r="AN13" s="301"/>
      <c r="AO13" s="301"/>
      <c r="AP13" s="301"/>
      <c r="AQ13" s="299" t="s">
        <v>21</v>
      </c>
      <c r="AR13" s="299" t="s">
        <v>21</v>
      </c>
      <c r="AS13" s="868"/>
    </row>
    <row r="14" spans="1:50" s="218" customFormat="1" ht="123" customHeight="1">
      <c r="A14" s="870"/>
      <c r="B14" s="870"/>
      <c r="C14" s="870"/>
      <c r="D14" s="870" t="s">
        <v>63</v>
      </c>
      <c r="E14" s="870"/>
      <c r="F14" s="870"/>
      <c r="G14" s="39" t="s">
        <v>66</v>
      </c>
      <c r="H14" s="39" t="s">
        <v>18</v>
      </c>
      <c r="I14" s="40">
        <v>100</v>
      </c>
      <c r="J14" s="300">
        <v>100</v>
      </c>
      <c r="K14" s="874"/>
      <c r="L14" s="874"/>
      <c r="M14" s="192" t="s">
        <v>394</v>
      </c>
      <c r="N14" s="299">
        <v>1</v>
      </c>
      <c r="O14" s="299" t="s">
        <v>259</v>
      </c>
      <c r="P14" s="299">
        <v>0</v>
      </c>
      <c r="Q14" s="299">
        <v>0</v>
      </c>
      <c r="R14" s="299">
        <v>0</v>
      </c>
      <c r="S14" s="299">
        <v>1</v>
      </c>
      <c r="T14" s="299" t="s">
        <v>23</v>
      </c>
      <c r="U14" s="875"/>
      <c r="V14" s="876"/>
      <c r="W14" s="876"/>
      <c r="X14" s="310"/>
      <c r="Y14" s="301"/>
      <c r="Z14" s="301"/>
      <c r="AA14" s="301"/>
      <c r="AB14" s="425">
        <v>5443333</v>
      </c>
      <c r="AC14" s="472">
        <v>5443333</v>
      </c>
      <c r="AD14" s="301"/>
      <c r="AE14" s="301"/>
      <c r="AF14" s="301"/>
      <c r="AG14" s="301"/>
      <c r="AH14" s="301"/>
      <c r="AI14" s="301"/>
      <c r="AJ14" s="301"/>
      <c r="AK14" s="301"/>
      <c r="AL14" s="301"/>
      <c r="AM14" s="301"/>
      <c r="AN14" s="301"/>
      <c r="AO14" s="301"/>
      <c r="AP14" s="301"/>
      <c r="AQ14" s="299" t="s">
        <v>21</v>
      </c>
      <c r="AR14" s="299" t="s">
        <v>21</v>
      </c>
      <c r="AS14" s="868"/>
    </row>
    <row r="15" spans="1:50" s="218" customFormat="1" ht="123" customHeight="1">
      <c r="A15" s="870"/>
      <c r="B15" s="870"/>
      <c r="C15" s="870"/>
      <c r="D15" s="870"/>
      <c r="E15" s="870"/>
      <c r="F15" s="870"/>
      <c r="G15" s="39" t="s">
        <v>67</v>
      </c>
      <c r="H15" s="39" t="s">
        <v>68</v>
      </c>
      <c r="I15" s="300" t="s">
        <v>51</v>
      </c>
      <c r="J15" s="300">
        <v>1</v>
      </c>
      <c r="K15" s="874"/>
      <c r="L15" s="874"/>
      <c r="M15" s="192" t="s">
        <v>395</v>
      </c>
      <c r="N15" s="299">
        <v>1</v>
      </c>
      <c r="O15" s="299" t="s">
        <v>259</v>
      </c>
      <c r="P15" s="299">
        <v>0</v>
      </c>
      <c r="Q15" s="299">
        <v>0</v>
      </c>
      <c r="R15" s="299">
        <v>1</v>
      </c>
      <c r="S15" s="299">
        <v>0</v>
      </c>
      <c r="T15" s="299" t="s">
        <v>23</v>
      </c>
      <c r="U15" s="875"/>
      <c r="V15" s="876"/>
      <c r="W15" s="876"/>
      <c r="X15" s="310"/>
      <c r="Y15" s="301"/>
      <c r="Z15" s="301"/>
      <c r="AA15" s="301"/>
      <c r="AB15" s="425">
        <v>5443333</v>
      </c>
      <c r="AC15" s="472">
        <v>5443333</v>
      </c>
      <c r="AD15" s="301"/>
      <c r="AE15" s="301"/>
      <c r="AF15" s="301"/>
      <c r="AG15" s="301"/>
      <c r="AH15" s="301"/>
      <c r="AI15" s="301"/>
      <c r="AJ15" s="301"/>
      <c r="AK15" s="301"/>
      <c r="AL15" s="301"/>
      <c r="AM15" s="301"/>
      <c r="AN15" s="301"/>
      <c r="AO15" s="301"/>
      <c r="AP15" s="301"/>
      <c r="AQ15" s="299" t="s">
        <v>21</v>
      </c>
      <c r="AR15" s="299" t="s">
        <v>21</v>
      </c>
      <c r="AS15" s="868"/>
    </row>
    <row r="16" spans="1:50" s="218" customFormat="1" ht="125.25" customHeight="1">
      <c r="A16" s="870"/>
      <c r="B16" s="870"/>
      <c r="C16" s="870"/>
      <c r="D16" s="870"/>
      <c r="E16" s="870"/>
      <c r="F16" s="870"/>
      <c r="G16" s="39" t="s">
        <v>313</v>
      </c>
      <c r="H16" s="39" t="s">
        <v>18</v>
      </c>
      <c r="I16" s="300">
        <v>20</v>
      </c>
      <c r="J16" s="300">
        <v>80</v>
      </c>
      <c r="K16" s="874"/>
      <c r="L16" s="874"/>
      <c r="M16" s="191" t="s">
        <v>396</v>
      </c>
      <c r="N16" s="299">
        <v>16</v>
      </c>
      <c r="O16" s="299" t="s">
        <v>259</v>
      </c>
      <c r="P16" s="299">
        <v>4</v>
      </c>
      <c r="Q16" s="299">
        <v>2</v>
      </c>
      <c r="R16" s="299">
        <v>6</v>
      </c>
      <c r="S16" s="299">
        <v>4</v>
      </c>
      <c r="T16" s="299" t="s">
        <v>23</v>
      </c>
      <c r="U16" s="875"/>
      <c r="V16" s="876"/>
      <c r="W16" s="876"/>
      <c r="X16" s="310"/>
      <c r="Y16" s="301"/>
      <c r="Z16" s="301"/>
      <c r="AA16" s="301"/>
      <c r="AB16" s="425">
        <v>5443334</v>
      </c>
      <c r="AC16" s="472">
        <v>5443334</v>
      </c>
      <c r="AD16" s="301"/>
      <c r="AE16" s="301"/>
      <c r="AF16" s="301"/>
      <c r="AG16" s="301"/>
      <c r="AH16" s="301"/>
      <c r="AI16" s="301"/>
      <c r="AJ16" s="301"/>
      <c r="AK16" s="301"/>
      <c r="AL16" s="301"/>
      <c r="AM16" s="301"/>
      <c r="AN16" s="301"/>
      <c r="AO16" s="301"/>
      <c r="AP16" s="301"/>
      <c r="AQ16" s="299" t="s">
        <v>21</v>
      </c>
      <c r="AR16" s="299" t="s">
        <v>21</v>
      </c>
      <c r="AS16" s="869"/>
    </row>
    <row r="17" spans="1:45" s="218" customFormat="1" ht="125.25" customHeight="1">
      <c r="A17" s="882" t="s">
        <v>607</v>
      </c>
      <c r="B17" s="882"/>
      <c r="C17" s="882"/>
      <c r="D17" s="882"/>
      <c r="E17" s="882"/>
      <c r="F17" s="882"/>
      <c r="G17" s="882"/>
      <c r="H17" s="882"/>
      <c r="I17" s="882"/>
      <c r="J17" s="882"/>
      <c r="K17" s="882"/>
      <c r="L17" s="882"/>
      <c r="M17" s="882"/>
      <c r="N17" s="107">
        <f>SUM(N12:N16)</f>
        <v>22</v>
      </c>
      <c r="O17" s="107" t="s">
        <v>638</v>
      </c>
      <c r="P17" s="107">
        <f t="shared" ref="P17:S17" si="5">SUM(P12:P16)</f>
        <v>4</v>
      </c>
      <c r="Q17" s="107">
        <f t="shared" si="5"/>
        <v>3</v>
      </c>
      <c r="R17" s="107">
        <f t="shared" si="5"/>
        <v>8</v>
      </c>
      <c r="S17" s="107">
        <f t="shared" si="5"/>
        <v>7</v>
      </c>
      <c r="T17" s="107"/>
      <c r="U17" s="107"/>
      <c r="V17" s="386">
        <f>V12</f>
        <v>111000000</v>
      </c>
      <c r="W17" s="386">
        <f>W12</f>
        <v>111000000</v>
      </c>
      <c r="X17" s="107">
        <f>X16+X15+X14+X13+X12</f>
        <v>0</v>
      </c>
      <c r="Y17" s="107">
        <f t="shared" ref="Y17:AA17" si="6">Y16+Y15+Y14+Y13+Y12</f>
        <v>0</v>
      </c>
      <c r="Z17" s="107">
        <f t="shared" si="6"/>
        <v>0</v>
      </c>
      <c r="AA17" s="107">
        <f t="shared" si="6"/>
        <v>0</v>
      </c>
      <c r="AB17" s="386">
        <f>AB16+AB15+AB14+AB13+AB12</f>
        <v>27216666</v>
      </c>
      <c r="AC17" s="386">
        <f t="shared" ref="AC17:AG17" si="7">AC16+AC15+AC14+AC13+AC12</f>
        <v>27216666</v>
      </c>
      <c r="AD17" s="386">
        <f t="shared" si="7"/>
        <v>0</v>
      </c>
      <c r="AE17" s="386">
        <f t="shared" si="7"/>
        <v>0</v>
      </c>
      <c r="AF17" s="386">
        <f t="shared" si="7"/>
        <v>0</v>
      </c>
      <c r="AG17" s="386">
        <f t="shared" si="7"/>
        <v>0</v>
      </c>
      <c r="AH17" s="107"/>
      <c r="AI17" s="107"/>
      <c r="AJ17" s="107"/>
      <c r="AK17" s="107"/>
      <c r="AL17" s="107"/>
      <c r="AM17" s="107"/>
      <c r="AN17" s="107"/>
      <c r="AO17" s="107"/>
      <c r="AP17" s="107"/>
      <c r="AQ17" s="107"/>
      <c r="AR17" s="107"/>
      <c r="AS17" s="298"/>
    </row>
    <row r="18" spans="1:45" s="218" customFormat="1" ht="115.5" customHeight="1">
      <c r="A18" s="870" t="s">
        <v>220</v>
      </c>
      <c r="B18" s="870" t="s">
        <v>69</v>
      </c>
      <c r="C18" s="39" t="s">
        <v>70</v>
      </c>
      <c r="D18" s="870" t="s">
        <v>53</v>
      </c>
      <c r="E18" s="870">
        <v>95</v>
      </c>
      <c r="F18" s="870" t="s">
        <v>71</v>
      </c>
      <c r="G18" s="870" t="s">
        <v>72</v>
      </c>
      <c r="H18" s="870" t="s">
        <v>17</v>
      </c>
      <c r="I18" s="874" t="s">
        <v>51</v>
      </c>
      <c r="J18" s="874">
        <v>4</v>
      </c>
      <c r="K18" s="874"/>
      <c r="L18" s="870" t="s">
        <v>93</v>
      </c>
      <c r="M18" s="42" t="s">
        <v>357</v>
      </c>
      <c r="N18" s="299">
        <v>4</v>
      </c>
      <c r="O18" s="299" t="s">
        <v>17</v>
      </c>
      <c r="P18" s="299">
        <v>0</v>
      </c>
      <c r="Q18" s="299">
        <v>2</v>
      </c>
      <c r="R18" s="299">
        <v>2</v>
      </c>
      <c r="S18" s="299">
        <v>0</v>
      </c>
      <c r="T18" s="870" t="s">
        <v>23</v>
      </c>
      <c r="U18" s="870"/>
      <c r="V18" s="876">
        <f>63000000+48000000</f>
        <v>111000000</v>
      </c>
      <c r="W18" s="876">
        <f>V18</f>
        <v>111000000</v>
      </c>
      <c r="X18" s="310"/>
      <c r="Y18" s="301"/>
      <c r="Z18" s="301"/>
      <c r="AA18" s="301"/>
      <c r="AB18" s="425">
        <v>6390416</v>
      </c>
      <c r="AC18" s="472">
        <v>6390416</v>
      </c>
      <c r="AD18" s="301"/>
      <c r="AE18" s="301"/>
      <c r="AF18" s="301"/>
      <c r="AG18" s="301"/>
      <c r="AH18" s="301"/>
      <c r="AI18" s="301"/>
      <c r="AJ18" s="301"/>
      <c r="AK18" s="301"/>
      <c r="AL18" s="301"/>
      <c r="AM18" s="301"/>
      <c r="AN18" s="301"/>
      <c r="AO18" s="301"/>
      <c r="AP18" s="301"/>
      <c r="AQ18" s="870" t="s">
        <v>28</v>
      </c>
      <c r="AR18" s="870" t="s">
        <v>28</v>
      </c>
      <c r="AS18" s="867" t="s">
        <v>356</v>
      </c>
    </row>
    <row r="19" spans="1:45" s="218" customFormat="1" ht="115.5" customHeight="1">
      <c r="A19" s="870"/>
      <c r="B19" s="870"/>
      <c r="C19" s="39"/>
      <c r="D19" s="870"/>
      <c r="E19" s="870"/>
      <c r="F19" s="870"/>
      <c r="G19" s="870"/>
      <c r="H19" s="870"/>
      <c r="I19" s="874"/>
      <c r="J19" s="874"/>
      <c r="K19" s="874"/>
      <c r="L19" s="870"/>
      <c r="M19" s="42" t="s">
        <v>359</v>
      </c>
      <c r="N19" s="299">
        <v>4</v>
      </c>
      <c r="O19" s="299" t="s">
        <v>17</v>
      </c>
      <c r="P19" s="299">
        <v>1</v>
      </c>
      <c r="Q19" s="299">
        <v>1</v>
      </c>
      <c r="R19" s="299">
        <v>1</v>
      </c>
      <c r="S19" s="299">
        <v>1</v>
      </c>
      <c r="T19" s="870"/>
      <c r="U19" s="870"/>
      <c r="V19" s="876"/>
      <c r="W19" s="876"/>
      <c r="X19" s="310"/>
      <c r="Y19" s="301"/>
      <c r="Z19" s="301"/>
      <c r="AA19" s="301"/>
      <c r="AB19" s="301">
        <v>6390417</v>
      </c>
      <c r="AC19" s="472">
        <v>6390417</v>
      </c>
      <c r="AD19" s="301"/>
      <c r="AE19" s="301"/>
      <c r="AF19" s="301"/>
      <c r="AG19" s="301"/>
      <c r="AH19" s="301"/>
      <c r="AI19" s="301"/>
      <c r="AJ19" s="301"/>
      <c r="AK19" s="301"/>
      <c r="AL19" s="301"/>
      <c r="AM19" s="301"/>
      <c r="AN19" s="301"/>
      <c r="AO19" s="301"/>
      <c r="AP19" s="301"/>
      <c r="AQ19" s="870"/>
      <c r="AR19" s="870"/>
      <c r="AS19" s="868"/>
    </row>
    <row r="20" spans="1:45" s="218" customFormat="1" ht="135.75" customHeight="1">
      <c r="A20" s="870"/>
      <c r="B20" s="870"/>
      <c r="C20" s="39"/>
      <c r="D20" s="870"/>
      <c r="E20" s="870"/>
      <c r="F20" s="870"/>
      <c r="G20" s="39" t="s">
        <v>73</v>
      </c>
      <c r="H20" s="39" t="s">
        <v>18</v>
      </c>
      <c r="I20" s="300">
        <v>100</v>
      </c>
      <c r="J20" s="300">
        <v>100</v>
      </c>
      <c r="K20" s="302"/>
      <c r="L20" s="39" t="s">
        <v>94</v>
      </c>
      <c r="M20" s="42" t="s">
        <v>397</v>
      </c>
      <c r="N20" s="299">
        <v>100</v>
      </c>
      <c r="O20" s="299" t="s">
        <v>358</v>
      </c>
      <c r="P20" s="299">
        <v>25</v>
      </c>
      <c r="Q20" s="299">
        <v>25</v>
      </c>
      <c r="R20" s="299">
        <v>25</v>
      </c>
      <c r="S20" s="299">
        <v>25</v>
      </c>
      <c r="T20" s="44" t="s">
        <v>23</v>
      </c>
      <c r="U20" s="299"/>
      <c r="V20" s="876"/>
      <c r="W20" s="876"/>
      <c r="X20" s="310"/>
      <c r="Y20" s="301"/>
      <c r="Z20" s="301"/>
      <c r="AA20" s="301"/>
      <c r="AB20" s="301">
        <v>6390417</v>
      </c>
      <c r="AC20" s="472">
        <v>6390417</v>
      </c>
      <c r="AD20" s="301"/>
      <c r="AE20" s="301"/>
      <c r="AF20" s="301"/>
      <c r="AG20" s="301"/>
      <c r="AH20" s="301"/>
      <c r="AI20" s="301"/>
      <c r="AJ20" s="301"/>
      <c r="AK20" s="301"/>
      <c r="AL20" s="301"/>
      <c r="AM20" s="301"/>
      <c r="AN20" s="301"/>
      <c r="AO20" s="301"/>
      <c r="AP20" s="301"/>
      <c r="AQ20" s="870" t="s">
        <v>28</v>
      </c>
      <c r="AR20" s="870" t="s">
        <v>28</v>
      </c>
      <c r="AS20" s="869"/>
    </row>
    <row r="21" spans="1:45" s="218" customFormat="1" ht="135.75" customHeight="1">
      <c r="A21" s="299"/>
      <c r="B21" s="870"/>
      <c r="C21" s="299"/>
      <c r="D21" s="299"/>
      <c r="E21" s="299"/>
      <c r="F21" s="299"/>
      <c r="G21" s="39"/>
      <c r="H21" s="39"/>
      <c r="I21" s="300"/>
      <c r="J21" s="300"/>
      <c r="K21" s="302"/>
      <c r="L21" s="39"/>
      <c r="M21" s="42" t="s">
        <v>360</v>
      </c>
      <c r="N21" s="299">
        <v>10</v>
      </c>
      <c r="O21" s="299" t="s">
        <v>19</v>
      </c>
      <c r="P21" s="299">
        <v>1</v>
      </c>
      <c r="Q21" s="299">
        <v>3</v>
      </c>
      <c r="R21" s="299">
        <v>3</v>
      </c>
      <c r="S21" s="299">
        <v>3</v>
      </c>
      <c r="T21" s="44"/>
      <c r="U21" s="299"/>
      <c r="V21" s="876"/>
      <c r="W21" s="876"/>
      <c r="X21" s="310"/>
      <c r="Y21" s="301"/>
      <c r="Z21" s="301"/>
      <c r="AA21" s="301"/>
      <c r="AB21" s="301">
        <v>6390416</v>
      </c>
      <c r="AC21" s="472">
        <v>6390416</v>
      </c>
      <c r="AD21" s="301"/>
      <c r="AE21" s="301"/>
      <c r="AF21" s="301"/>
      <c r="AG21" s="301"/>
      <c r="AH21" s="301"/>
      <c r="AI21" s="301"/>
      <c r="AJ21" s="301"/>
      <c r="AK21" s="301"/>
      <c r="AL21" s="301"/>
      <c r="AM21" s="301"/>
      <c r="AN21" s="301"/>
      <c r="AO21" s="301"/>
      <c r="AP21" s="301"/>
      <c r="AQ21" s="870"/>
      <c r="AR21" s="870"/>
      <c r="AS21" s="298"/>
    </row>
    <row r="22" spans="1:45" s="218" customFormat="1" ht="51" customHeight="1">
      <c r="A22" s="881" t="s">
        <v>607</v>
      </c>
      <c r="B22" s="881"/>
      <c r="C22" s="881"/>
      <c r="D22" s="881"/>
      <c r="E22" s="881"/>
      <c r="F22" s="881"/>
      <c r="G22" s="881"/>
      <c r="H22" s="881"/>
      <c r="I22" s="881"/>
      <c r="J22" s="881"/>
      <c r="K22" s="881"/>
      <c r="L22" s="881"/>
      <c r="M22" s="881"/>
      <c r="N22" s="188">
        <f>N21+N19+N18</f>
        <v>18</v>
      </c>
      <c r="O22" s="188" t="s">
        <v>452</v>
      </c>
      <c r="P22" s="188">
        <f>SUM(P18:P21)</f>
        <v>27</v>
      </c>
      <c r="Q22" s="188">
        <f t="shared" ref="Q22" si="8">SUM(Q18:Q21)</f>
        <v>31</v>
      </c>
      <c r="R22" s="188">
        <f t="shared" ref="R22" si="9">SUM(R18:R21)</f>
        <v>31</v>
      </c>
      <c r="S22" s="188">
        <f t="shared" ref="S22" si="10">SUM(S18:S21)</f>
        <v>29</v>
      </c>
      <c r="T22" s="188"/>
      <c r="U22" s="112"/>
      <c r="V22" s="879">
        <f>V21+V20+V18</f>
        <v>111000000</v>
      </c>
      <c r="W22" s="879">
        <f>W21+W20+W18</f>
        <v>111000000</v>
      </c>
      <c r="X22" s="323">
        <f>SUM(X18:X21)</f>
        <v>0</v>
      </c>
      <c r="Y22" s="323">
        <f t="shared" ref="Y22" si="11">SUM(Y18:Y21)</f>
        <v>0</v>
      </c>
      <c r="Z22" s="323">
        <f t="shared" ref="Z22" si="12">SUM(Z18:Z21)</f>
        <v>0</v>
      </c>
      <c r="AA22" s="323">
        <f t="shared" ref="AA22" si="13">SUM(AA18:AA21)</f>
        <v>0</v>
      </c>
      <c r="AB22" s="879">
        <f>SUM(AB18:AB21)</f>
        <v>25561666</v>
      </c>
      <c r="AC22" s="879">
        <f t="shared" ref="AC22" si="14">SUM(AC18:AC21)</f>
        <v>25561666</v>
      </c>
      <c r="AD22" s="879">
        <f t="shared" ref="AD22" si="15">SUM(AD18:AD21)</f>
        <v>0</v>
      </c>
      <c r="AE22" s="879">
        <f t="shared" ref="AE22" si="16">SUM(AE18:AE21)</f>
        <v>0</v>
      </c>
      <c r="AF22" s="879">
        <f>SUM(AF18:AF21)</f>
        <v>0</v>
      </c>
      <c r="AG22" s="879">
        <f t="shared" ref="AG22" si="17">SUM(AG18:AG21)</f>
        <v>0</v>
      </c>
      <c r="AH22" s="324"/>
      <c r="AI22" s="324"/>
      <c r="AJ22" s="324"/>
      <c r="AK22" s="324"/>
      <c r="AL22" s="324"/>
      <c r="AM22" s="324"/>
      <c r="AN22" s="324"/>
      <c r="AO22" s="324"/>
      <c r="AP22" s="324"/>
      <c r="AQ22" s="188"/>
      <c r="AR22" s="188"/>
      <c r="AS22" s="295"/>
    </row>
    <row r="23" spans="1:45" s="218" customFormat="1" ht="47.25" customHeight="1">
      <c r="A23" s="881"/>
      <c r="B23" s="881"/>
      <c r="C23" s="881"/>
      <c r="D23" s="881"/>
      <c r="E23" s="881"/>
      <c r="F23" s="881"/>
      <c r="G23" s="881"/>
      <c r="H23" s="881"/>
      <c r="I23" s="881"/>
      <c r="J23" s="881"/>
      <c r="K23" s="881"/>
      <c r="L23" s="881"/>
      <c r="M23" s="881"/>
      <c r="N23" s="188">
        <f>N20</f>
        <v>100</v>
      </c>
      <c r="O23" s="188" t="s">
        <v>358</v>
      </c>
      <c r="P23" s="188">
        <f t="shared" ref="P23:S23" si="18">P20</f>
        <v>25</v>
      </c>
      <c r="Q23" s="188">
        <f t="shared" si="18"/>
        <v>25</v>
      </c>
      <c r="R23" s="188">
        <f t="shared" si="18"/>
        <v>25</v>
      </c>
      <c r="S23" s="188">
        <f t="shared" si="18"/>
        <v>25</v>
      </c>
      <c r="T23" s="188"/>
      <c r="U23" s="112"/>
      <c r="V23" s="879"/>
      <c r="W23" s="879"/>
      <c r="X23" s="323">
        <f>X20</f>
        <v>0</v>
      </c>
      <c r="Y23" s="323">
        <f t="shared" ref="Y23:AA23" si="19">Y20</f>
        <v>0</v>
      </c>
      <c r="Z23" s="323">
        <f t="shared" si="19"/>
        <v>0</v>
      </c>
      <c r="AA23" s="323">
        <f t="shared" si="19"/>
        <v>0</v>
      </c>
      <c r="AB23" s="879"/>
      <c r="AC23" s="879"/>
      <c r="AD23" s="879"/>
      <c r="AE23" s="879"/>
      <c r="AF23" s="879"/>
      <c r="AG23" s="879"/>
      <c r="AH23" s="324"/>
      <c r="AI23" s="324"/>
      <c r="AJ23" s="324"/>
      <c r="AK23" s="324"/>
      <c r="AL23" s="324"/>
      <c r="AM23" s="324"/>
      <c r="AN23" s="324"/>
      <c r="AO23" s="324"/>
      <c r="AP23" s="324"/>
      <c r="AQ23" s="188"/>
      <c r="AR23" s="188"/>
      <c r="AS23" s="295"/>
    </row>
    <row r="24" spans="1:45" s="218" customFormat="1">
      <c r="A24" s="3"/>
      <c r="B24" s="3"/>
      <c r="C24" s="3"/>
      <c r="D24" s="3"/>
      <c r="E24" s="3"/>
      <c r="F24" s="3"/>
      <c r="G24" s="3"/>
      <c r="H24" s="3"/>
      <c r="M24" s="5"/>
      <c r="N24" s="3"/>
      <c r="O24" s="3"/>
      <c r="P24" s="3"/>
      <c r="Q24" s="3"/>
      <c r="R24" s="3"/>
      <c r="S24" s="3"/>
      <c r="T24" s="7"/>
      <c r="U24" s="3"/>
      <c r="V24" s="8"/>
      <c r="W24" s="9"/>
      <c r="X24" s="9"/>
      <c r="Y24" s="9"/>
      <c r="Z24" s="9"/>
      <c r="AA24" s="9"/>
      <c r="AB24" s="9"/>
      <c r="AC24" s="9"/>
      <c r="AD24" s="9"/>
      <c r="AE24" s="9"/>
      <c r="AF24" s="9"/>
      <c r="AG24" s="9"/>
      <c r="AH24" s="9"/>
      <c r="AI24" s="9"/>
      <c r="AJ24" s="9"/>
      <c r="AK24" s="9"/>
      <c r="AL24" s="9"/>
      <c r="AM24" s="9"/>
      <c r="AN24" s="9"/>
      <c r="AO24" s="9"/>
      <c r="AP24" s="9"/>
      <c r="AQ24" s="3"/>
      <c r="AR24" s="3"/>
    </row>
    <row r="25" spans="1:45" s="218" customFormat="1" ht="28.5" customHeight="1">
      <c r="A25" s="877" t="s">
        <v>601</v>
      </c>
      <c r="B25" s="877"/>
      <c r="C25" s="877"/>
      <c r="D25" s="877"/>
      <c r="E25" s="877"/>
      <c r="F25" s="877"/>
      <c r="G25" s="877"/>
      <c r="H25" s="877"/>
      <c r="I25" s="877"/>
      <c r="J25" s="877"/>
      <c r="K25" s="877"/>
      <c r="L25" s="877"/>
      <c r="M25" s="877"/>
      <c r="N25" s="877"/>
      <c r="O25" s="877"/>
      <c r="P25" s="3"/>
      <c r="Q25" s="3"/>
      <c r="R25" s="3"/>
      <c r="S25" s="3"/>
      <c r="T25" s="7">
        <v>90692582256</v>
      </c>
      <c r="U25" s="3"/>
      <c r="V25" s="8"/>
      <c r="W25" s="9"/>
      <c r="X25" s="9"/>
      <c r="Y25" s="9"/>
      <c r="Z25" s="9"/>
      <c r="AA25" s="9"/>
      <c r="AB25" s="9"/>
      <c r="AC25" s="9"/>
      <c r="AD25" s="9"/>
      <c r="AE25" s="9"/>
      <c r="AF25" s="9"/>
      <c r="AG25" s="9"/>
      <c r="AH25" s="9"/>
      <c r="AI25" s="9"/>
      <c r="AJ25" s="9"/>
      <c r="AK25" s="9"/>
      <c r="AL25" s="9"/>
      <c r="AM25" s="9"/>
      <c r="AN25" s="9"/>
      <c r="AO25" s="9"/>
      <c r="AP25" s="9"/>
      <c r="AQ25" s="3"/>
      <c r="AR25" s="3"/>
    </row>
    <row r="26" spans="1:45" s="218" customFormat="1" ht="90">
      <c r="A26" s="318" t="s">
        <v>598</v>
      </c>
      <c r="B26" s="319" t="s">
        <v>587</v>
      </c>
      <c r="C26" s="319" t="s">
        <v>588</v>
      </c>
      <c r="D26" s="319" t="s">
        <v>589</v>
      </c>
      <c r="E26" s="319" t="s">
        <v>590</v>
      </c>
      <c r="F26" s="319" t="s">
        <v>589</v>
      </c>
      <c r="G26" s="319" t="s">
        <v>591</v>
      </c>
      <c r="H26" s="319" t="s">
        <v>589</v>
      </c>
      <c r="I26" s="319"/>
      <c r="J26" s="320"/>
      <c r="K26" s="320"/>
      <c r="L26" s="320"/>
      <c r="M26" s="319" t="s">
        <v>589</v>
      </c>
      <c r="N26" s="319" t="s">
        <v>592</v>
      </c>
      <c r="O26" s="319" t="s">
        <v>589</v>
      </c>
      <c r="P26" s="3"/>
      <c r="Q26" s="3"/>
      <c r="R26" s="3"/>
      <c r="S26" s="3"/>
      <c r="T26" s="7">
        <v>59707696938</v>
      </c>
      <c r="U26" s="3"/>
      <c r="V26" s="8"/>
      <c r="W26" s="13" t="e">
        <f>#REF!-#REF!</f>
        <v>#REF!</v>
      </c>
      <c r="X26" s="13"/>
      <c r="Y26" s="13"/>
      <c r="Z26" s="13"/>
      <c r="AA26" s="13"/>
      <c r="AB26" s="13"/>
      <c r="AC26" s="13"/>
      <c r="AD26" s="13"/>
      <c r="AE26" s="13"/>
      <c r="AF26" s="13"/>
      <c r="AG26" s="13"/>
      <c r="AH26" s="13"/>
      <c r="AI26" s="13"/>
      <c r="AJ26" s="13"/>
      <c r="AK26" s="13"/>
      <c r="AL26" s="13"/>
      <c r="AM26" s="13"/>
      <c r="AN26" s="13"/>
      <c r="AO26" s="13"/>
      <c r="AP26" s="13"/>
      <c r="AQ26" s="3"/>
      <c r="AR26" s="3"/>
    </row>
    <row r="27" spans="1:45" s="218" customFormat="1">
      <c r="A27" s="303" t="s">
        <v>599</v>
      </c>
      <c r="B27" s="303">
        <f>N11</f>
        <v>11</v>
      </c>
      <c r="C27" s="311">
        <f>X11</f>
        <v>0</v>
      </c>
      <c r="D27" s="314">
        <f>B27*C27/100</f>
        <v>0</v>
      </c>
      <c r="E27" s="303">
        <v>0</v>
      </c>
      <c r="F27" s="314">
        <f>E27*B27/100</f>
        <v>0</v>
      </c>
      <c r="G27" s="303">
        <f>Z11</f>
        <v>0</v>
      </c>
      <c r="H27" s="303"/>
      <c r="I27" s="304"/>
      <c r="J27" s="304"/>
      <c r="K27" s="304"/>
      <c r="L27" s="304"/>
      <c r="M27" s="359">
        <f>G27*B27/100</f>
        <v>0</v>
      </c>
      <c r="N27" s="303">
        <f>AA11</f>
        <v>0</v>
      </c>
      <c r="O27" s="314">
        <f>B27*N27/100</f>
        <v>0</v>
      </c>
      <c r="P27" s="3"/>
      <c r="Q27" s="3"/>
      <c r="R27" s="3"/>
      <c r="S27" s="3"/>
      <c r="T27" s="7">
        <f>+T25-T26</f>
        <v>30984885318</v>
      </c>
      <c r="U27" s="3"/>
      <c r="V27" s="8"/>
      <c r="W27" s="8"/>
      <c r="X27" s="8"/>
      <c r="Y27" s="8"/>
      <c r="Z27" s="8"/>
      <c r="AA27" s="8"/>
      <c r="AB27" s="8"/>
      <c r="AC27" s="8"/>
      <c r="AD27" s="8"/>
      <c r="AE27" s="8"/>
      <c r="AF27" s="8"/>
      <c r="AG27" s="8"/>
      <c r="AH27" s="8"/>
      <c r="AI27" s="8"/>
      <c r="AJ27" s="8"/>
      <c r="AK27" s="8"/>
      <c r="AL27" s="8"/>
      <c r="AM27" s="8"/>
      <c r="AN27" s="8"/>
      <c r="AO27" s="8"/>
      <c r="AP27" s="8"/>
      <c r="AQ27" s="3"/>
      <c r="AR27" s="3"/>
    </row>
    <row r="28" spans="1:45" s="218" customFormat="1">
      <c r="A28" s="303" t="s">
        <v>18</v>
      </c>
      <c r="B28" s="303">
        <v>0</v>
      </c>
      <c r="C28" s="303">
        <v>0</v>
      </c>
      <c r="D28" s="314">
        <f>B28*C28/100</f>
        <v>0</v>
      </c>
      <c r="E28" s="303">
        <v>0</v>
      </c>
      <c r="F28" s="314">
        <f>E28*B28/100</f>
        <v>0</v>
      </c>
      <c r="G28" s="303">
        <v>0</v>
      </c>
      <c r="H28" s="303"/>
      <c r="I28" s="304"/>
      <c r="J28" s="304"/>
      <c r="K28" s="304"/>
      <c r="L28" s="304"/>
      <c r="M28" s="359">
        <f>G28*B28/100</f>
        <v>0</v>
      </c>
      <c r="N28" s="303">
        <v>0</v>
      </c>
      <c r="O28" s="314">
        <f>B28*N28/100</f>
        <v>0</v>
      </c>
      <c r="P28" s="3"/>
      <c r="Q28" s="3"/>
      <c r="R28" s="3"/>
      <c r="S28" s="3"/>
      <c r="T28" s="7"/>
      <c r="U28" s="3"/>
      <c r="V28" s="8"/>
      <c r="W28" s="8"/>
      <c r="X28" s="8"/>
      <c r="Y28" s="8"/>
      <c r="Z28" s="8"/>
      <c r="AA28" s="8"/>
      <c r="AB28" s="8"/>
      <c r="AC28" s="8"/>
      <c r="AD28" s="8"/>
      <c r="AE28" s="8"/>
      <c r="AF28" s="8"/>
      <c r="AG28" s="8"/>
      <c r="AH28" s="8"/>
      <c r="AI28" s="8"/>
      <c r="AJ28" s="8"/>
      <c r="AK28" s="8"/>
      <c r="AL28" s="8"/>
      <c r="AM28" s="8"/>
      <c r="AN28" s="8"/>
      <c r="AO28" s="8"/>
      <c r="AP28" s="8"/>
      <c r="AQ28" s="3"/>
      <c r="AR28" s="3"/>
    </row>
    <row r="29" spans="1:45" s="218" customFormat="1">
      <c r="A29" s="7"/>
      <c r="B29" s="7"/>
      <c r="C29" s="7"/>
      <c r="D29" s="7"/>
      <c r="E29" s="7"/>
      <c r="F29" s="7"/>
      <c r="G29" s="7"/>
      <c r="H29" s="7"/>
      <c r="I29" s="306"/>
      <c r="J29" s="306"/>
      <c r="K29" s="306"/>
      <c r="L29" s="306"/>
      <c r="M29" s="307"/>
      <c r="N29" s="7"/>
      <c r="O29" s="3"/>
      <c r="P29" s="3"/>
      <c r="Q29" s="3"/>
      <c r="R29" s="3"/>
      <c r="S29" s="3"/>
      <c r="T29" s="7"/>
      <c r="U29" s="3"/>
      <c r="V29" s="8"/>
      <c r="W29" s="8"/>
      <c r="X29" s="8"/>
      <c r="Y29" s="8"/>
      <c r="Z29" s="8"/>
      <c r="AA29" s="8"/>
      <c r="AB29" s="8"/>
      <c r="AC29" s="8"/>
      <c r="AD29" s="8"/>
      <c r="AE29" s="8"/>
      <c r="AF29" s="8"/>
      <c r="AG29" s="8"/>
      <c r="AH29" s="8"/>
      <c r="AI29" s="8"/>
      <c r="AJ29" s="8"/>
      <c r="AK29" s="8"/>
      <c r="AL29" s="8"/>
      <c r="AM29" s="8"/>
      <c r="AN29" s="8"/>
      <c r="AO29" s="8"/>
      <c r="AP29" s="8"/>
      <c r="AQ29" s="3"/>
      <c r="AR29" s="3"/>
    </row>
    <row r="30" spans="1:45" s="218" customFormat="1" ht="15">
      <c r="A30" s="878" t="s">
        <v>602</v>
      </c>
      <c r="B30" s="878"/>
      <c r="C30" s="878"/>
      <c r="D30" s="878"/>
      <c r="E30" s="878"/>
      <c r="F30" s="878"/>
      <c r="G30" s="878"/>
      <c r="H30" s="878"/>
      <c r="I30" s="878"/>
      <c r="J30" s="878"/>
      <c r="K30" s="878"/>
      <c r="L30" s="878"/>
      <c r="M30" s="878"/>
      <c r="N30" s="878"/>
      <c r="O30" s="3"/>
      <c r="P30" s="3"/>
      <c r="Q30" s="3"/>
      <c r="R30" s="3"/>
      <c r="S30" s="3"/>
      <c r="T30" s="7"/>
      <c r="U30" s="3"/>
      <c r="V30" s="8"/>
      <c r="W30" s="8"/>
      <c r="X30" s="8"/>
      <c r="Y30" s="8"/>
      <c r="Z30" s="8"/>
      <c r="AA30" s="8"/>
      <c r="AB30" s="8"/>
      <c r="AC30" s="8"/>
      <c r="AD30" s="8"/>
      <c r="AE30" s="8"/>
      <c r="AF30" s="8"/>
      <c r="AG30" s="8"/>
      <c r="AH30" s="8"/>
      <c r="AI30" s="8"/>
      <c r="AJ30" s="8"/>
      <c r="AK30" s="8"/>
      <c r="AL30" s="8"/>
      <c r="AM30" s="8"/>
      <c r="AN30" s="8"/>
      <c r="AO30" s="8"/>
      <c r="AP30" s="8"/>
      <c r="AQ30" s="3"/>
      <c r="AR30" s="3"/>
    </row>
    <row r="31" spans="1:45" s="218" customFormat="1" ht="45">
      <c r="A31" s="316" t="s">
        <v>593</v>
      </c>
      <c r="B31" s="316" t="s">
        <v>594</v>
      </c>
      <c r="C31" s="316" t="s">
        <v>589</v>
      </c>
      <c r="D31" s="316" t="s">
        <v>595</v>
      </c>
      <c r="E31" s="316" t="s">
        <v>589</v>
      </c>
      <c r="F31" s="316" t="s">
        <v>596</v>
      </c>
      <c r="G31" s="316" t="s">
        <v>589</v>
      </c>
      <c r="H31" s="316"/>
      <c r="I31" s="317"/>
      <c r="J31" s="317"/>
      <c r="K31" s="317"/>
      <c r="L31" s="317"/>
      <c r="M31" s="316" t="s">
        <v>597</v>
      </c>
      <c r="N31" s="316" t="s">
        <v>589</v>
      </c>
      <c r="O31" s="3"/>
      <c r="P31" s="3"/>
      <c r="Q31" s="3"/>
      <c r="R31" s="3"/>
      <c r="S31" s="3"/>
      <c r="T31" s="7"/>
      <c r="U31" s="3"/>
      <c r="V31" s="8"/>
      <c r="W31" s="8" t="e">
        <f>#REF!-W34</f>
        <v>#REF!</v>
      </c>
      <c r="X31" s="8"/>
      <c r="Y31" s="8"/>
      <c r="Z31" s="8"/>
      <c r="AA31" s="8"/>
      <c r="AB31" s="8"/>
      <c r="AC31" s="8"/>
      <c r="AD31" s="8"/>
      <c r="AE31" s="8"/>
      <c r="AF31" s="8"/>
      <c r="AG31" s="8"/>
      <c r="AH31" s="8"/>
      <c r="AI31" s="8"/>
      <c r="AJ31" s="8"/>
      <c r="AK31" s="8"/>
      <c r="AL31" s="8"/>
      <c r="AM31" s="8"/>
      <c r="AN31" s="8"/>
      <c r="AO31" s="8"/>
      <c r="AP31" s="8"/>
      <c r="AQ31" s="3"/>
      <c r="AR31" s="3"/>
    </row>
    <row r="32" spans="1:45" s="218" customFormat="1">
      <c r="A32" s="309">
        <f>V11</f>
        <v>546943571</v>
      </c>
      <c r="B32" s="309">
        <f>AB11</f>
        <v>121061676</v>
      </c>
      <c r="C32" s="314">
        <f>A32*B32/100</f>
        <v>662139053826849.88</v>
      </c>
      <c r="D32" s="309">
        <f>AC11</f>
        <v>121061676</v>
      </c>
      <c r="E32" s="314">
        <f>A32*D32/100</f>
        <v>662139053826849.88</v>
      </c>
      <c r="F32" s="309">
        <f>AD11</f>
        <v>0</v>
      </c>
      <c r="G32" s="314">
        <f>C32*F32/100</f>
        <v>0</v>
      </c>
      <c r="H32" s="303"/>
      <c r="I32" s="304"/>
      <c r="J32" s="304"/>
      <c r="K32" s="304"/>
      <c r="L32" s="304"/>
      <c r="M32" s="325">
        <f>AE11</f>
        <v>0</v>
      </c>
      <c r="N32" s="314">
        <f>J32*M32/100</f>
        <v>0</v>
      </c>
      <c r="O32" s="3"/>
      <c r="P32" s="3"/>
      <c r="Q32" s="3"/>
      <c r="R32" s="3"/>
      <c r="S32" s="3"/>
      <c r="T32" s="178" t="e">
        <f>T26-#REF!</f>
        <v>#REF!</v>
      </c>
      <c r="U32" s="3"/>
      <c r="V32" s="8"/>
      <c r="W32" s="8"/>
      <c r="X32" s="8"/>
      <c r="Y32" s="8"/>
      <c r="Z32" s="8"/>
      <c r="AA32" s="8"/>
      <c r="AB32" s="8"/>
      <c r="AC32" s="8"/>
      <c r="AD32" s="8"/>
      <c r="AE32" s="8"/>
      <c r="AF32" s="8"/>
      <c r="AG32" s="8"/>
      <c r="AH32" s="8"/>
      <c r="AI32" s="8"/>
      <c r="AJ32" s="8"/>
      <c r="AK32" s="8"/>
      <c r="AL32" s="8"/>
      <c r="AM32" s="8"/>
      <c r="AN32" s="8"/>
      <c r="AO32" s="8"/>
      <c r="AP32" s="8"/>
      <c r="AQ32" s="3"/>
      <c r="AR32" s="3"/>
    </row>
    <row r="33" spans="1:44" s="218" customFormat="1">
      <c r="A33" s="303"/>
      <c r="B33" s="303"/>
      <c r="C33" s="303"/>
      <c r="D33" s="303"/>
      <c r="E33" s="303"/>
      <c r="F33" s="303"/>
      <c r="G33" s="303"/>
      <c r="H33" s="303"/>
      <c r="I33" s="304"/>
      <c r="J33" s="304"/>
      <c r="K33" s="304"/>
      <c r="L33" s="304"/>
      <c r="M33" s="305"/>
      <c r="N33" s="303"/>
      <c r="O33" s="3"/>
      <c r="P33" s="3"/>
      <c r="Q33" s="3"/>
      <c r="R33" s="3"/>
      <c r="S33" s="3"/>
      <c r="T33" s="7"/>
      <c r="U33" s="16" t="e">
        <f>W34-#REF!</f>
        <v>#REF!</v>
      </c>
      <c r="V33" s="8"/>
      <c r="W33" s="8"/>
      <c r="X33" s="8"/>
      <c r="Y33" s="8"/>
      <c r="Z33" s="8"/>
      <c r="AA33" s="8"/>
      <c r="AB33" s="8"/>
      <c r="AC33" s="8"/>
      <c r="AD33" s="8"/>
      <c r="AE33" s="8"/>
      <c r="AF33" s="8"/>
      <c r="AG33" s="8"/>
      <c r="AH33" s="8"/>
      <c r="AI33" s="8"/>
      <c r="AJ33" s="8"/>
      <c r="AK33" s="8"/>
      <c r="AL33" s="8"/>
      <c r="AM33" s="8"/>
      <c r="AN33" s="8"/>
      <c r="AO33" s="8"/>
      <c r="AP33" s="8"/>
      <c r="AQ33" s="3"/>
      <c r="AR33" s="3"/>
    </row>
    <row r="34" spans="1:44" s="218" customFormat="1" ht="23.25">
      <c r="A34" s="3"/>
      <c r="B34" s="3"/>
      <c r="C34" s="3"/>
      <c r="D34" s="3"/>
      <c r="E34" s="3"/>
      <c r="F34" s="3"/>
      <c r="G34" s="3"/>
      <c r="H34" s="3"/>
      <c r="M34" s="5"/>
      <c r="N34" s="3"/>
      <c r="O34" s="3"/>
      <c r="P34" s="3"/>
      <c r="Q34" s="3"/>
      <c r="R34" s="3"/>
      <c r="S34" s="3"/>
      <c r="T34" s="7"/>
      <c r="U34" s="3"/>
      <c r="V34" s="8"/>
      <c r="W34" s="14">
        <v>90692582257</v>
      </c>
      <c r="X34" s="286"/>
      <c r="Y34" s="286"/>
      <c r="Z34" s="286"/>
      <c r="AA34" s="286"/>
      <c r="AB34" s="286"/>
      <c r="AC34" s="286"/>
      <c r="AD34" s="286"/>
      <c r="AE34" s="286"/>
      <c r="AF34" s="286"/>
      <c r="AG34" s="286"/>
      <c r="AH34" s="286"/>
      <c r="AI34" s="286"/>
      <c r="AJ34" s="286"/>
      <c r="AK34" s="286"/>
      <c r="AL34" s="286"/>
      <c r="AM34" s="286"/>
      <c r="AN34" s="286"/>
      <c r="AO34" s="286"/>
      <c r="AP34" s="286"/>
      <c r="AQ34" s="15" t="e">
        <f>W34-#REF!</f>
        <v>#REF!</v>
      </c>
      <c r="AR34" s="3"/>
    </row>
    <row r="35" spans="1:44" s="218" customFormat="1" ht="15">
      <c r="A35" s="877" t="s">
        <v>603</v>
      </c>
      <c r="B35" s="877"/>
      <c r="C35" s="877"/>
      <c r="D35" s="877"/>
      <c r="E35" s="877"/>
      <c r="F35" s="877"/>
      <c r="G35" s="877"/>
      <c r="H35" s="877"/>
      <c r="I35" s="877"/>
      <c r="J35" s="877"/>
      <c r="K35" s="877"/>
      <c r="L35" s="877"/>
      <c r="M35" s="877"/>
      <c r="N35" s="877"/>
      <c r="O35" s="877"/>
      <c r="P35" s="3"/>
      <c r="Q35" s="3"/>
      <c r="R35" s="3"/>
      <c r="S35" s="3"/>
      <c r="T35" s="7"/>
      <c r="U35" s="3"/>
      <c r="V35" s="8"/>
      <c r="W35" s="8"/>
      <c r="X35" s="8"/>
      <c r="Y35" s="8"/>
      <c r="Z35" s="8"/>
      <c r="AA35" s="8"/>
      <c r="AB35" s="8"/>
      <c r="AC35" s="8"/>
      <c r="AD35" s="8"/>
      <c r="AE35" s="8"/>
      <c r="AF35" s="8"/>
      <c r="AG35" s="8"/>
      <c r="AH35" s="8"/>
      <c r="AI35" s="8"/>
      <c r="AJ35" s="8"/>
      <c r="AK35" s="8"/>
      <c r="AL35" s="8"/>
      <c r="AM35" s="8"/>
      <c r="AN35" s="8"/>
      <c r="AO35" s="8"/>
      <c r="AP35" s="8"/>
      <c r="AQ35" s="3"/>
      <c r="AR35" s="3"/>
    </row>
    <row r="36" spans="1:44" s="218" customFormat="1" ht="90">
      <c r="A36" s="318" t="s">
        <v>598</v>
      </c>
      <c r="B36" s="319" t="s">
        <v>587</v>
      </c>
      <c r="C36" s="319" t="s">
        <v>588</v>
      </c>
      <c r="D36" s="319" t="s">
        <v>589</v>
      </c>
      <c r="E36" s="319" t="s">
        <v>590</v>
      </c>
      <c r="F36" s="319" t="s">
        <v>589</v>
      </c>
      <c r="G36" s="319" t="s">
        <v>591</v>
      </c>
      <c r="H36" s="319" t="s">
        <v>589</v>
      </c>
      <c r="I36" s="319"/>
      <c r="J36" s="320"/>
      <c r="K36" s="320"/>
      <c r="L36" s="320"/>
      <c r="M36" s="319" t="s">
        <v>589</v>
      </c>
      <c r="N36" s="319" t="s">
        <v>592</v>
      </c>
      <c r="O36" s="319" t="s">
        <v>589</v>
      </c>
      <c r="P36" s="3"/>
      <c r="Q36" s="3"/>
      <c r="R36" s="3"/>
      <c r="S36" s="3"/>
      <c r="T36" s="178" t="e">
        <f>#REF!-T26</f>
        <v>#REF!</v>
      </c>
      <c r="U36" s="3"/>
      <c r="V36" s="8"/>
      <c r="W36" s="8"/>
      <c r="X36" s="8"/>
      <c r="Y36" s="8"/>
      <c r="Z36" s="8"/>
      <c r="AA36" s="8"/>
      <c r="AB36" s="8"/>
      <c r="AC36" s="8"/>
      <c r="AD36" s="8"/>
      <c r="AE36" s="8"/>
      <c r="AF36" s="8"/>
      <c r="AG36" s="8"/>
      <c r="AH36" s="8"/>
      <c r="AI36" s="8"/>
      <c r="AJ36" s="8"/>
      <c r="AK36" s="8"/>
      <c r="AL36" s="8"/>
      <c r="AM36" s="8"/>
      <c r="AN36" s="8"/>
      <c r="AO36" s="8"/>
      <c r="AP36" s="8"/>
      <c r="AQ36" s="3"/>
      <c r="AR36" s="3"/>
    </row>
    <row r="37" spans="1:44" s="218" customFormat="1">
      <c r="A37" s="303" t="s">
        <v>599</v>
      </c>
      <c r="B37" s="303">
        <f>N17</f>
        <v>22</v>
      </c>
      <c r="C37" s="311">
        <f>X17</f>
        <v>0</v>
      </c>
      <c r="D37" s="314">
        <f>B37*C37/100</f>
        <v>0</v>
      </c>
      <c r="E37" s="303">
        <f>Y17</f>
        <v>0</v>
      </c>
      <c r="F37" s="314">
        <f>D37*E37/100</f>
        <v>0</v>
      </c>
      <c r="G37" s="303">
        <f>Z17</f>
        <v>0</v>
      </c>
      <c r="H37" s="303"/>
      <c r="I37" s="304"/>
      <c r="J37" s="304"/>
      <c r="K37" s="304"/>
      <c r="L37" s="304"/>
      <c r="M37" s="314">
        <f>K37*L37/100</f>
        <v>0</v>
      </c>
      <c r="N37" s="303">
        <f>AA17</f>
        <v>0</v>
      </c>
      <c r="O37" s="314">
        <f>M37*N37/100</f>
        <v>0</v>
      </c>
      <c r="P37" s="3"/>
      <c r="Q37" s="3"/>
      <c r="R37" s="3"/>
      <c r="S37" s="3"/>
      <c r="T37" s="7"/>
      <c r="U37" s="3"/>
      <c r="V37" s="8"/>
      <c r="W37" s="8"/>
      <c r="X37" s="8"/>
      <c r="Y37" s="8"/>
      <c r="Z37" s="8"/>
      <c r="AA37" s="8"/>
      <c r="AB37" s="8"/>
      <c r="AC37" s="8"/>
      <c r="AD37" s="8"/>
      <c r="AE37" s="8"/>
      <c r="AF37" s="8"/>
      <c r="AG37" s="8"/>
      <c r="AH37" s="8"/>
      <c r="AI37" s="8"/>
      <c r="AJ37" s="8"/>
      <c r="AK37" s="8"/>
      <c r="AL37" s="8"/>
      <c r="AM37" s="8"/>
      <c r="AN37" s="8"/>
      <c r="AO37" s="8"/>
      <c r="AP37" s="8"/>
      <c r="AQ37" s="3"/>
      <c r="AR37" s="3"/>
    </row>
    <row r="38" spans="1:44" s="218" customFormat="1">
      <c r="A38" s="303" t="s">
        <v>18</v>
      </c>
      <c r="B38" s="303">
        <v>0</v>
      </c>
      <c r="C38" s="303">
        <v>0</v>
      </c>
      <c r="D38" s="314">
        <f>B38*C38/100</f>
        <v>0</v>
      </c>
      <c r="E38" s="303">
        <v>0</v>
      </c>
      <c r="F38" s="314">
        <f>D38*E38/100</f>
        <v>0</v>
      </c>
      <c r="G38" s="303">
        <v>0</v>
      </c>
      <c r="H38" s="303"/>
      <c r="I38" s="304"/>
      <c r="J38" s="304"/>
      <c r="K38" s="304"/>
      <c r="L38" s="304"/>
      <c r="M38" s="314">
        <f>K38*L38/100</f>
        <v>0</v>
      </c>
      <c r="N38" s="303">
        <v>0</v>
      </c>
      <c r="O38" s="314">
        <f>M38*N38/100</f>
        <v>0</v>
      </c>
      <c r="P38" s="3"/>
      <c r="Q38" s="3"/>
      <c r="R38" s="3"/>
      <c r="S38" s="3"/>
      <c r="T38" s="7"/>
      <c r="U38" s="3"/>
      <c r="V38" s="8"/>
      <c r="W38" s="8"/>
      <c r="X38" s="8"/>
      <c r="Y38" s="8"/>
      <c r="Z38" s="8"/>
      <c r="AA38" s="8"/>
      <c r="AB38" s="8"/>
      <c r="AC38" s="8"/>
      <c r="AD38" s="8"/>
      <c r="AE38" s="8"/>
      <c r="AF38" s="8"/>
      <c r="AG38" s="8"/>
      <c r="AH38" s="8"/>
      <c r="AI38" s="8"/>
      <c r="AJ38" s="8"/>
      <c r="AK38" s="8"/>
      <c r="AL38" s="8"/>
      <c r="AM38" s="8"/>
      <c r="AN38" s="8"/>
      <c r="AO38" s="8"/>
      <c r="AP38" s="8"/>
      <c r="AQ38" s="3"/>
      <c r="AR38" s="3"/>
    </row>
    <row r="39" spans="1:44" s="218" customFormat="1">
      <c r="A39" s="7"/>
      <c r="B39" s="7"/>
      <c r="C39" s="7"/>
      <c r="D39" s="7"/>
      <c r="E39" s="7"/>
      <c r="F39" s="7"/>
      <c r="G39" s="7"/>
      <c r="H39" s="7"/>
      <c r="I39" s="306"/>
      <c r="J39" s="306"/>
      <c r="K39" s="306"/>
      <c r="L39" s="306"/>
      <c r="M39" s="307"/>
      <c r="N39" s="7"/>
      <c r="O39" s="3"/>
      <c r="P39" s="3"/>
      <c r="Q39" s="3"/>
      <c r="R39" s="3"/>
      <c r="S39" s="3"/>
      <c r="T39" s="7"/>
      <c r="U39" s="3"/>
      <c r="V39" s="8"/>
      <c r="W39" s="8"/>
      <c r="X39" s="8"/>
      <c r="Y39" s="8"/>
      <c r="Z39" s="8"/>
      <c r="AA39" s="8"/>
      <c r="AB39" s="8"/>
      <c r="AC39" s="8"/>
      <c r="AD39" s="8"/>
      <c r="AE39" s="8"/>
      <c r="AF39" s="8"/>
      <c r="AG39" s="8"/>
      <c r="AH39" s="8"/>
      <c r="AI39" s="8"/>
      <c r="AJ39" s="8"/>
      <c r="AK39" s="8"/>
      <c r="AL39" s="8"/>
      <c r="AM39" s="8"/>
      <c r="AN39" s="8"/>
      <c r="AO39" s="8"/>
      <c r="AP39" s="8"/>
      <c r="AQ39" s="3"/>
      <c r="AR39" s="3"/>
    </row>
    <row r="40" spans="1:44" s="218" customFormat="1" ht="15">
      <c r="A40" s="878" t="s">
        <v>604</v>
      </c>
      <c r="B40" s="878"/>
      <c r="C40" s="878"/>
      <c r="D40" s="878"/>
      <c r="E40" s="878"/>
      <c r="F40" s="878"/>
      <c r="G40" s="878"/>
      <c r="H40" s="878"/>
      <c r="I40" s="878"/>
      <c r="J40" s="878"/>
      <c r="K40" s="878"/>
      <c r="L40" s="878"/>
      <c r="M40" s="878"/>
      <c r="N40" s="878"/>
      <c r="O40" s="3"/>
      <c r="P40" s="3"/>
      <c r="Q40" s="3"/>
      <c r="R40" s="3"/>
      <c r="S40" s="3"/>
      <c r="T40" s="7"/>
      <c r="U40" s="3"/>
      <c r="V40" s="8"/>
      <c r="W40" s="8"/>
      <c r="X40" s="8"/>
      <c r="Y40" s="8"/>
      <c r="Z40" s="8"/>
      <c r="AA40" s="8"/>
      <c r="AB40" s="8"/>
      <c r="AC40" s="8"/>
      <c r="AD40" s="8"/>
      <c r="AE40" s="8"/>
      <c r="AF40" s="8"/>
      <c r="AG40" s="8"/>
      <c r="AH40" s="8"/>
      <c r="AI40" s="8"/>
      <c r="AJ40" s="8"/>
      <c r="AK40" s="8"/>
      <c r="AL40" s="8"/>
      <c r="AM40" s="8"/>
      <c r="AN40" s="8"/>
      <c r="AO40" s="8"/>
      <c r="AP40" s="8"/>
      <c r="AQ40" s="3"/>
      <c r="AR40" s="3"/>
    </row>
    <row r="41" spans="1:44" s="218" customFormat="1" ht="45">
      <c r="A41" s="316" t="s">
        <v>593</v>
      </c>
      <c r="B41" s="316" t="s">
        <v>594</v>
      </c>
      <c r="C41" s="316" t="s">
        <v>589</v>
      </c>
      <c r="D41" s="316" t="s">
        <v>595</v>
      </c>
      <c r="E41" s="316" t="s">
        <v>589</v>
      </c>
      <c r="F41" s="316" t="s">
        <v>596</v>
      </c>
      <c r="G41" s="316" t="s">
        <v>589</v>
      </c>
      <c r="H41" s="316"/>
      <c r="I41" s="317"/>
      <c r="J41" s="317"/>
      <c r="K41" s="317"/>
      <c r="L41" s="317"/>
      <c r="M41" s="316" t="s">
        <v>597</v>
      </c>
      <c r="N41" s="316" t="s">
        <v>589</v>
      </c>
      <c r="O41" s="3"/>
      <c r="P41" s="3"/>
      <c r="Q41" s="3"/>
      <c r="R41" s="3"/>
      <c r="S41" s="3"/>
      <c r="T41" s="7"/>
      <c r="U41" s="3"/>
      <c r="V41" s="8"/>
      <c r="W41" s="8"/>
      <c r="X41" s="8"/>
      <c r="Y41" s="8"/>
      <c r="Z41" s="8"/>
      <c r="AA41" s="8"/>
      <c r="AB41" s="8"/>
      <c r="AC41" s="8"/>
      <c r="AD41" s="8"/>
      <c r="AE41" s="8"/>
      <c r="AF41" s="8"/>
      <c r="AG41" s="8"/>
      <c r="AH41" s="8"/>
      <c r="AI41" s="8"/>
      <c r="AJ41" s="8"/>
      <c r="AK41" s="8"/>
      <c r="AL41" s="8"/>
      <c r="AM41" s="8"/>
      <c r="AN41" s="8"/>
      <c r="AO41" s="8"/>
      <c r="AP41" s="8"/>
      <c r="AQ41" s="3"/>
      <c r="AR41" s="3"/>
    </row>
    <row r="42" spans="1:44" s="218" customFormat="1" ht="15">
      <c r="A42" s="321">
        <f>V17</f>
        <v>111000000</v>
      </c>
      <c r="B42" s="321">
        <f>AB17</f>
        <v>27216666</v>
      </c>
      <c r="C42" s="315">
        <f>A42*B42/100</f>
        <v>30210499260000</v>
      </c>
      <c r="D42" s="321">
        <f>AC17</f>
        <v>27216666</v>
      </c>
      <c r="E42" s="315">
        <f>C42*D42/100</f>
        <v>8.2222906805266719E+18</v>
      </c>
      <c r="F42" s="321">
        <f>AD17</f>
        <v>0</v>
      </c>
      <c r="G42" s="315">
        <f>E42*F42/100</f>
        <v>0</v>
      </c>
      <c r="H42" s="308"/>
      <c r="I42" s="322"/>
      <c r="J42" s="322"/>
      <c r="K42" s="322"/>
      <c r="L42" s="322"/>
      <c r="M42" s="326">
        <f>AE17</f>
        <v>0</v>
      </c>
      <c r="N42" s="315">
        <f>L42*M42/100</f>
        <v>0</v>
      </c>
      <c r="O42" s="3"/>
      <c r="P42" s="3"/>
      <c r="Q42" s="3"/>
      <c r="R42" s="3"/>
      <c r="S42" s="3"/>
      <c r="T42" s="7"/>
      <c r="U42" s="3"/>
      <c r="V42" s="8"/>
      <c r="W42" s="8"/>
      <c r="X42" s="8"/>
      <c r="Y42" s="8"/>
      <c r="Z42" s="8"/>
      <c r="AA42" s="8"/>
      <c r="AB42" s="8"/>
      <c r="AC42" s="8"/>
      <c r="AD42" s="8"/>
      <c r="AE42" s="8"/>
      <c r="AF42" s="8"/>
      <c r="AG42" s="8"/>
      <c r="AH42" s="8"/>
      <c r="AI42" s="8"/>
      <c r="AJ42" s="8"/>
      <c r="AK42" s="8"/>
      <c r="AL42" s="8"/>
      <c r="AM42" s="8"/>
      <c r="AN42" s="8"/>
      <c r="AO42" s="8"/>
      <c r="AP42" s="8"/>
      <c r="AQ42" s="3"/>
      <c r="AR42" s="3"/>
    </row>
    <row r="43" spans="1:44" s="218" customFormat="1">
      <c r="A43" s="303"/>
      <c r="B43" s="303"/>
      <c r="C43" s="303"/>
      <c r="D43" s="303"/>
      <c r="E43" s="303"/>
      <c r="F43" s="303"/>
      <c r="G43" s="303"/>
      <c r="H43" s="303"/>
      <c r="I43" s="304"/>
      <c r="J43" s="304"/>
      <c r="K43" s="304"/>
      <c r="L43" s="304"/>
      <c r="M43" s="305"/>
      <c r="N43" s="303"/>
      <c r="O43" s="3"/>
      <c r="P43" s="3"/>
      <c r="Q43" s="3"/>
      <c r="R43" s="3"/>
      <c r="S43" s="3"/>
      <c r="T43" s="7"/>
      <c r="U43" s="3"/>
      <c r="V43" s="8"/>
      <c r="W43" s="8"/>
      <c r="X43" s="8"/>
      <c r="Y43" s="8"/>
      <c r="Z43" s="8"/>
      <c r="AA43" s="8"/>
      <c r="AB43" s="8"/>
      <c r="AC43" s="8"/>
      <c r="AD43" s="8"/>
      <c r="AE43" s="8"/>
      <c r="AF43" s="8"/>
      <c r="AG43" s="8"/>
      <c r="AH43" s="8"/>
      <c r="AI43" s="8"/>
      <c r="AJ43" s="8"/>
      <c r="AK43" s="8"/>
      <c r="AL43" s="8"/>
      <c r="AM43" s="8"/>
      <c r="AN43" s="8"/>
      <c r="AO43" s="8"/>
      <c r="AP43" s="8"/>
      <c r="AQ43" s="3"/>
      <c r="AR43" s="3"/>
    </row>
    <row r="44" spans="1:44" s="218" customFormat="1">
      <c r="A44" s="3"/>
      <c r="B44" s="3"/>
      <c r="C44" s="3"/>
      <c r="D44" s="3"/>
      <c r="E44" s="3"/>
      <c r="F44" s="3"/>
      <c r="G44" s="3"/>
      <c r="H44" s="3"/>
      <c r="M44" s="5"/>
      <c r="N44" s="3"/>
      <c r="O44" s="3"/>
      <c r="P44" s="3"/>
      <c r="Q44" s="3"/>
      <c r="R44" s="3"/>
      <c r="S44" s="3"/>
      <c r="T44" s="7"/>
      <c r="U44" s="3"/>
      <c r="V44" s="8"/>
      <c r="W44" s="8"/>
      <c r="X44" s="8"/>
      <c r="Y44" s="8"/>
      <c r="Z44" s="8"/>
      <c r="AA44" s="8"/>
      <c r="AB44" s="8"/>
      <c r="AC44" s="8"/>
      <c r="AD44" s="8"/>
      <c r="AE44" s="8"/>
      <c r="AF44" s="8"/>
      <c r="AG44" s="8"/>
      <c r="AH44" s="8"/>
      <c r="AI44" s="8"/>
      <c r="AJ44" s="8"/>
      <c r="AK44" s="8"/>
      <c r="AL44" s="8"/>
      <c r="AM44" s="8"/>
      <c r="AN44" s="8"/>
      <c r="AO44" s="8"/>
      <c r="AP44" s="8"/>
      <c r="AQ44" s="3"/>
      <c r="AR44" s="3"/>
    </row>
    <row r="45" spans="1:44" s="218" customFormat="1" ht="15">
      <c r="A45" s="877" t="s">
        <v>605</v>
      </c>
      <c r="B45" s="877"/>
      <c r="C45" s="877"/>
      <c r="D45" s="877"/>
      <c r="E45" s="877"/>
      <c r="F45" s="877"/>
      <c r="G45" s="877"/>
      <c r="H45" s="877"/>
      <c r="I45" s="877"/>
      <c r="J45" s="877"/>
      <c r="K45" s="877"/>
      <c r="L45" s="877"/>
      <c r="M45" s="877"/>
      <c r="N45" s="877"/>
      <c r="O45" s="877"/>
      <c r="P45" s="3"/>
      <c r="Q45" s="3"/>
      <c r="R45" s="3"/>
      <c r="S45" s="3"/>
      <c r="T45" s="7"/>
      <c r="U45" s="3"/>
      <c r="V45" s="8"/>
      <c r="W45" s="8"/>
      <c r="X45" s="8"/>
      <c r="Y45" s="8"/>
      <c r="Z45" s="8"/>
      <c r="AA45" s="8"/>
      <c r="AB45" s="8"/>
      <c r="AC45" s="8"/>
      <c r="AD45" s="8"/>
      <c r="AE45" s="8"/>
      <c r="AF45" s="8"/>
      <c r="AG45" s="8"/>
      <c r="AH45" s="8"/>
      <c r="AI45" s="8"/>
      <c r="AJ45" s="8"/>
      <c r="AK45" s="8"/>
      <c r="AL45" s="8"/>
      <c r="AM45" s="8"/>
      <c r="AN45" s="8"/>
      <c r="AO45" s="8"/>
      <c r="AP45" s="8"/>
      <c r="AQ45" s="3"/>
      <c r="AR45" s="3"/>
    </row>
    <row r="46" spans="1:44" s="218" customFormat="1" ht="90">
      <c r="A46" s="318" t="s">
        <v>598</v>
      </c>
      <c r="B46" s="319" t="s">
        <v>587</v>
      </c>
      <c r="C46" s="319" t="s">
        <v>588</v>
      </c>
      <c r="D46" s="319" t="s">
        <v>589</v>
      </c>
      <c r="E46" s="319" t="s">
        <v>590</v>
      </c>
      <c r="F46" s="319" t="s">
        <v>589</v>
      </c>
      <c r="G46" s="319" t="s">
        <v>591</v>
      </c>
      <c r="H46" s="319" t="s">
        <v>589</v>
      </c>
      <c r="I46" s="319"/>
      <c r="J46" s="320"/>
      <c r="K46" s="320"/>
      <c r="L46" s="320"/>
      <c r="M46" s="319" t="s">
        <v>589</v>
      </c>
      <c r="N46" s="319" t="s">
        <v>592</v>
      </c>
      <c r="O46" s="319" t="s">
        <v>589</v>
      </c>
      <c r="P46" s="3"/>
      <c r="Q46" s="3"/>
      <c r="R46" s="3"/>
      <c r="S46" s="3"/>
      <c r="T46" s="7"/>
      <c r="U46" s="3"/>
      <c r="V46" s="8"/>
      <c r="W46" s="8"/>
      <c r="X46" s="8"/>
      <c r="Y46" s="8"/>
      <c r="Z46" s="8"/>
      <c r="AA46" s="8"/>
      <c r="AB46" s="8"/>
      <c r="AC46" s="8"/>
      <c r="AD46" s="8"/>
      <c r="AE46" s="8"/>
      <c r="AF46" s="8"/>
      <c r="AG46" s="8"/>
      <c r="AH46" s="8"/>
      <c r="AI46" s="8"/>
      <c r="AJ46" s="8"/>
      <c r="AK46" s="8"/>
      <c r="AL46" s="8"/>
      <c r="AM46" s="8"/>
      <c r="AN46" s="8"/>
      <c r="AO46" s="8"/>
      <c r="AP46" s="8"/>
      <c r="AQ46" s="3"/>
      <c r="AR46" s="3"/>
    </row>
    <row r="47" spans="1:44" s="218" customFormat="1">
      <c r="A47" s="303" t="s">
        <v>599</v>
      </c>
      <c r="B47" s="303">
        <f>N22</f>
        <v>18</v>
      </c>
      <c r="C47" s="311">
        <f>X22</f>
        <v>0</v>
      </c>
      <c r="D47" s="314">
        <f>B47*C47/100</f>
        <v>0</v>
      </c>
      <c r="E47" s="303">
        <f>Y22</f>
        <v>0</v>
      </c>
      <c r="F47" s="314">
        <f>D47*E47/100</f>
        <v>0</v>
      </c>
      <c r="G47" s="303">
        <f>Z22</f>
        <v>0</v>
      </c>
      <c r="H47" s="303"/>
      <c r="I47" s="304"/>
      <c r="J47" s="304"/>
      <c r="K47" s="304"/>
      <c r="L47" s="304"/>
      <c r="M47" s="314">
        <f>K47*L47/100</f>
        <v>0</v>
      </c>
      <c r="N47" s="303">
        <f>AA22</f>
        <v>0</v>
      </c>
      <c r="O47" s="314">
        <f>M47*N47/100</f>
        <v>0</v>
      </c>
      <c r="P47" s="3"/>
      <c r="Q47" s="3"/>
      <c r="R47" s="3"/>
      <c r="S47" s="3"/>
      <c r="T47" s="7"/>
      <c r="U47" s="3"/>
      <c r="V47" s="8"/>
      <c r="W47" s="8"/>
      <c r="X47" s="8"/>
      <c r="Y47" s="8"/>
      <c r="Z47" s="8"/>
      <c r="AA47" s="8"/>
      <c r="AB47" s="8"/>
      <c r="AC47" s="8"/>
      <c r="AD47" s="8"/>
      <c r="AE47" s="8"/>
      <c r="AF47" s="8"/>
      <c r="AG47" s="8"/>
      <c r="AH47" s="8"/>
      <c r="AI47" s="8"/>
      <c r="AJ47" s="8"/>
      <c r="AK47" s="8"/>
      <c r="AL47" s="8"/>
      <c r="AM47" s="8"/>
      <c r="AN47" s="8"/>
      <c r="AO47" s="8"/>
      <c r="AP47" s="8"/>
      <c r="AQ47" s="3"/>
      <c r="AR47" s="3"/>
    </row>
    <row r="48" spans="1:44" s="218" customFormat="1">
      <c r="A48" s="303" t="s">
        <v>18</v>
      </c>
      <c r="B48" s="303">
        <f>N23</f>
        <v>100</v>
      </c>
      <c r="C48" s="312">
        <f>X23</f>
        <v>0</v>
      </c>
      <c r="D48" s="314">
        <f>B48*C48/100</f>
        <v>0</v>
      </c>
      <c r="E48" s="303">
        <f>Y23</f>
        <v>0</v>
      </c>
      <c r="F48" s="314">
        <f>D48*E48/100</f>
        <v>0</v>
      </c>
      <c r="G48" s="303">
        <f>Z23</f>
        <v>0</v>
      </c>
      <c r="H48" s="303"/>
      <c r="I48" s="304"/>
      <c r="J48" s="304"/>
      <c r="K48" s="304"/>
      <c r="L48" s="304"/>
      <c r="M48" s="314">
        <f>K48*L48/100</f>
        <v>0</v>
      </c>
      <c r="N48" s="303">
        <f>AA23</f>
        <v>0</v>
      </c>
      <c r="O48" s="314">
        <f>M48*N48/100</f>
        <v>0</v>
      </c>
      <c r="P48" s="3"/>
      <c r="Q48" s="3"/>
      <c r="R48" s="3"/>
      <c r="S48" s="3"/>
      <c r="T48" s="7"/>
      <c r="U48" s="3"/>
      <c r="V48" s="8"/>
      <c r="W48" s="8"/>
      <c r="X48" s="8"/>
      <c r="Y48" s="8"/>
      <c r="Z48" s="8"/>
      <c r="AA48" s="8"/>
      <c r="AB48" s="8"/>
      <c r="AC48" s="8"/>
      <c r="AD48" s="8"/>
      <c r="AE48" s="8"/>
      <c r="AF48" s="8"/>
      <c r="AG48" s="8"/>
      <c r="AH48" s="8"/>
      <c r="AI48" s="8"/>
      <c r="AJ48" s="8"/>
      <c r="AK48" s="8"/>
      <c r="AL48" s="8"/>
      <c r="AM48" s="8"/>
      <c r="AN48" s="8"/>
      <c r="AO48" s="8"/>
      <c r="AP48" s="8"/>
      <c r="AQ48" s="3"/>
      <c r="AR48" s="3"/>
    </row>
    <row r="49" spans="1:44" s="218" customFormat="1">
      <c r="A49" s="7"/>
      <c r="B49" s="7"/>
      <c r="C49" s="7"/>
      <c r="D49" s="7"/>
      <c r="E49" s="7"/>
      <c r="F49" s="7"/>
      <c r="G49" s="7"/>
      <c r="H49" s="7"/>
      <c r="I49" s="306"/>
      <c r="J49" s="306"/>
      <c r="K49" s="306"/>
      <c r="L49" s="306"/>
      <c r="M49" s="307"/>
      <c r="N49" s="7"/>
      <c r="O49" s="3"/>
      <c r="P49" s="3"/>
      <c r="Q49" s="3"/>
      <c r="R49" s="3"/>
      <c r="S49" s="3"/>
      <c r="T49" s="7"/>
      <c r="U49" s="3"/>
      <c r="V49" s="8"/>
      <c r="W49" s="8"/>
      <c r="X49" s="8"/>
      <c r="Y49" s="8"/>
      <c r="Z49" s="8"/>
      <c r="AA49" s="8"/>
      <c r="AB49" s="8"/>
      <c r="AC49" s="8"/>
      <c r="AD49" s="8"/>
      <c r="AE49" s="8"/>
      <c r="AF49" s="8"/>
      <c r="AG49" s="8"/>
      <c r="AH49" s="8"/>
      <c r="AI49" s="8"/>
      <c r="AJ49" s="8"/>
      <c r="AK49" s="8"/>
      <c r="AL49" s="8"/>
      <c r="AM49" s="8"/>
      <c r="AN49" s="8"/>
      <c r="AO49" s="8"/>
      <c r="AP49" s="8"/>
      <c r="AQ49" s="3"/>
      <c r="AR49" s="3"/>
    </row>
    <row r="50" spans="1:44" s="218" customFormat="1" ht="15">
      <c r="A50" s="878" t="s">
        <v>606</v>
      </c>
      <c r="B50" s="878"/>
      <c r="C50" s="878"/>
      <c r="D50" s="878"/>
      <c r="E50" s="878"/>
      <c r="F50" s="878"/>
      <c r="G50" s="878"/>
      <c r="H50" s="878"/>
      <c r="I50" s="878"/>
      <c r="J50" s="878"/>
      <c r="K50" s="878"/>
      <c r="L50" s="878"/>
      <c r="M50" s="878"/>
      <c r="N50" s="878"/>
      <c r="O50" s="3"/>
      <c r="P50" s="3"/>
      <c r="Q50" s="3"/>
      <c r="R50" s="3"/>
      <c r="S50" s="3"/>
      <c r="T50" s="7"/>
      <c r="U50" s="3"/>
      <c r="V50" s="8"/>
      <c r="W50" s="8"/>
      <c r="X50" s="8"/>
      <c r="Y50" s="8"/>
      <c r="Z50" s="8"/>
      <c r="AA50" s="8"/>
      <c r="AB50" s="8"/>
      <c r="AC50" s="8"/>
      <c r="AD50" s="8"/>
      <c r="AE50" s="8"/>
      <c r="AF50" s="8"/>
      <c r="AG50" s="8"/>
      <c r="AH50" s="8"/>
      <c r="AI50" s="8"/>
      <c r="AJ50" s="8"/>
      <c r="AK50" s="8"/>
      <c r="AL50" s="8"/>
      <c r="AM50" s="8"/>
      <c r="AN50" s="8"/>
      <c r="AO50" s="8"/>
      <c r="AP50" s="8"/>
      <c r="AQ50" s="3"/>
      <c r="AR50" s="3"/>
    </row>
    <row r="51" spans="1:44" s="218" customFormat="1" ht="45">
      <c r="A51" s="316" t="s">
        <v>593</v>
      </c>
      <c r="B51" s="316" t="s">
        <v>594</v>
      </c>
      <c r="C51" s="316" t="s">
        <v>589</v>
      </c>
      <c r="D51" s="316" t="s">
        <v>595</v>
      </c>
      <c r="E51" s="316" t="s">
        <v>589</v>
      </c>
      <c r="F51" s="316" t="s">
        <v>596</v>
      </c>
      <c r="G51" s="316" t="s">
        <v>589</v>
      </c>
      <c r="H51" s="316"/>
      <c r="I51" s="317"/>
      <c r="J51" s="317"/>
      <c r="K51" s="317"/>
      <c r="L51" s="317"/>
      <c r="M51" s="316" t="s">
        <v>597</v>
      </c>
      <c r="N51" s="316" t="s">
        <v>589</v>
      </c>
      <c r="O51" s="3"/>
      <c r="P51" s="3"/>
      <c r="Q51" s="3"/>
      <c r="R51" s="3"/>
      <c r="S51" s="3"/>
      <c r="T51" s="7"/>
      <c r="U51" s="3"/>
      <c r="V51" s="8"/>
      <c r="W51" s="8"/>
      <c r="X51" s="8"/>
      <c r="Y51" s="8"/>
      <c r="Z51" s="8"/>
      <c r="AA51" s="8"/>
      <c r="AB51" s="8"/>
      <c r="AC51" s="8"/>
      <c r="AD51" s="8"/>
      <c r="AE51" s="8"/>
      <c r="AF51" s="8"/>
      <c r="AG51" s="8"/>
      <c r="AH51" s="8"/>
      <c r="AI51" s="8"/>
      <c r="AJ51" s="8"/>
      <c r="AK51" s="8"/>
      <c r="AL51" s="8"/>
      <c r="AM51" s="8"/>
      <c r="AN51" s="8"/>
      <c r="AO51" s="8"/>
      <c r="AP51" s="8"/>
      <c r="AQ51" s="3"/>
      <c r="AR51" s="3"/>
    </row>
    <row r="52" spans="1:44">
      <c r="A52" s="309">
        <f>V22</f>
        <v>111000000</v>
      </c>
      <c r="B52" s="309">
        <f>AB22</f>
        <v>25561666</v>
      </c>
      <c r="C52" s="315">
        <f>A52*B52/100</f>
        <v>28373449260000</v>
      </c>
      <c r="D52" s="309">
        <f>AC22</f>
        <v>25561666</v>
      </c>
      <c r="E52" s="315">
        <f>C52*D52/100</f>
        <v>7.2527263325206712E+18</v>
      </c>
      <c r="F52" s="309">
        <f>AD22</f>
        <v>0</v>
      </c>
      <c r="G52" s="315">
        <f>E52*F52/100</f>
        <v>0</v>
      </c>
      <c r="H52" s="303"/>
      <c r="I52" s="304"/>
      <c r="J52" s="304"/>
      <c r="K52" s="304"/>
      <c r="L52" s="304"/>
      <c r="M52" s="325">
        <f>AE22</f>
        <v>0</v>
      </c>
      <c r="N52" s="315">
        <f>L52*M52/100</f>
        <v>0</v>
      </c>
    </row>
    <row r="53" spans="1:44">
      <c r="A53" s="303"/>
      <c r="B53" s="303"/>
      <c r="C53" s="303"/>
      <c r="D53" s="303"/>
      <c r="E53" s="303"/>
      <c r="F53" s="303"/>
      <c r="G53" s="303"/>
      <c r="H53" s="303"/>
      <c r="I53" s="304"/>
      <c r="J53" s="304"/>
      <c r="K53" s="304"/>
      <c r="L53" s="304"/>
      <c r="M53" s="305"/>
      <c r="N53" s="303"/>
    </row>
    <row r="57" spans="1:44" ht="15">
      <c r="A57" s="877" t="s">
        <v>600</v>
      </c>
      <c r="B57" s="877"/>
      <c r="C57" s="877"/>
      <c r="D57" s="877"/>
      <c r="E57" s="877"/>
      <c r="F57" s="877"/>
      <c r="G57" s="877"/>
      <c r="H57" s="877"/>
      <c r="I57" s="877"/>
      <c r="J57" s="877"/>
      <c r="K57" s="877"/>
      <c r="L57" s="877"/>
      <c r="M57" s="877"/>
      <c r="N57" s="877"/>
      <c r="O57" s="877"/>
    </row>
    <row r="58" spans="1:44" ht="90">
      <c r="A58" s="318" t="s">
        <v>598</v>
      </c>
      <c r="B58" s="319" t="s">
        <v>587</v>
      </c>
      <c r="C58" s="319" t="s">
        <v>588</v>
      </c>
      <c r="D58" s="319" t="s">
        <v>589</v>
      </c>
      <c r="E58" s="319" t="s">
        <v>590</v>
      </c>
      <c r="F58" s="319" t="s">
        <v>589</v>
      </c>
      <c r="G58" s="319" t="s">
        <v>591</v>
      </c>
      <c r="H58" s="319" t="s">
        <v>589</v>
      </c>
      <c r="I58" s="319"/>
      <c r="J58" s="320"/>
      <c r="K58" s="320"/>
      <c r="L58" s="320"/>
      <c r="M58" s="319" t="s">
        <v>589</v>
      </c>
      <c r="N58" s="319" t="s">
        <v>592</v>
      </c>
      <c r="O58" s="319" t="s">
        <v>589</v>
      </c>
    </row>
    <row r="59" spans="1:44">
      <c r="A59" s="303" t="s">
        <v>599</v>
      </c>
      <c r="B59" s="303">
        <f>B47+B37+B27</f>
        <v>51</v>
      </c>
      <c r="C59" s="303">
        <f>C47+C37+C27</f>
        <v>0</v>
      </c>
      <c r="D59" s="314">
        <f>B59*C59/100</f>
        <v>0</v>
      </c>
      <c r="E59" s="303">
        <f>E47+E37+E27</f>
        <v>0</v>
      </c>
      <c r="F59" s="314">
        <f>D59*E59/100</f>
        <v>0</v>
      </c>
      <c r="G59" s="303">
        <f>G47+G37+G27</f>
        <v>0</v>
      </c>
      <c r="H59" s="303"/>
      <c r="I59" s="304"/>
      <c r="J59" s="304"/>
      <c r="K59" s="304"/>
      <c r="L59" s="304"/>
      <c r="M59" s="314">
        <f>K59*L59/100</f>
        <v>0</v>
      </c>
      <c r="N59" s="303">
        <f>N47+N37+N27</f>
        <v>0</v>
      </c>
      <c r="O59" s="314">
        <f>M59*N59/100</f>
        <v>0</v>
      </c>
    </row>
    <row r="60" spans="1:44">
      <c r="A60" s="303" t="s">
        <v>18</v>
      </c>
      <c r="B60" s="314">
        <v>1</v>
      </c>
      <c r="C60" s="312">
        <f>C48</f>
        <v>0</v>
      </c>
      <c r="D60" s="314">
        <f>B60*C60/100</f>
        <v>0</v>
      </c>
      <c r="E60" s="303">
        <f>E48</f>
        <v>0</v>
      </c>
      <c r="F60" s="314">
        <f>D60*E60/100</f>
        <v>0</v>
      </c>
      <c r="G60" s="303">
        <f>G48</f>
        <v>0</v>
      </c>
      <c r="H60" s="303"/>
      <c r="I60" s="304"/>
      <c r="J60" s="304"/>
      <c r="K60" s="304"/>
      <c r="L60" s="304"/>
      <c r="M60" s="314">
        <f>K60*L60/100</f>
        <v>0</v>
      </c>
      <c r="N60" s="303">
        <f>N48</f>
        <v>0</v>
      </c>
      <c r="O60" s="314">
        <f>M60*N60/100</f>
        <v>0</v>
      </c>
    </row>
    <row r="61" spans="1:44">
      <c r="A61" s="7"/>
      <c r="B61" s="7"/>
      <c r="C61" s="7"/>
      <c r="D61" s="7"/>
      <c r="E61" s="7"/>
      <c r="F61" s="7"/>
      <c r="G61" s="7"/>
      <c r="H61" s="7"/>
      <c r="I61" s="306"/>
      <c r="J61" s="306"/>
      <c r="K61" s="306"/>
      <c r="L61" s="306"/>
      <c r="M61" s="307"/>
      <c r="N61" s="7"/>
    </row>
    <row r="62" spans="1:44" ht="15">
      <c r="A62" s="878" t="s">
        <v>606</v>
      </c>
      <c r="B62" s="878"/>
      <c r="C62" s="878"/>
      <c r="D62" s="878"/>
      <c r="E62" s="878"/>
      <c r="F62" s="878"/>
      <c r="G62" s="878"/>
      <c r="H62" s="878"/>
      <c r="I62" s="878"/>
      <c r="J62" s="878"/>
      <c r="K62" s="878"/>
      <c r="L62" s="878"/>
      <c r="M62" s="878"/>
      <c r="N62" s="878"/>
    </row>
    <row r="63" spans="1:44" ht="45">
      <c r="A63" s="316" t="s">
        <v>593</v>
      </c>
      <c r="B63" s="316" t="s">
        <v>594</v>
      </c>
      <c r="C63" s="316" t="s">
        <v>589</v>
      </c>
      <c r="D63" s="316" t="s">
        <v>595</v>
      </c>
      <c r="E63" s="316" t="s">
        <v>589</v>
      </c>
      <c r="F63" s="316" t="s">
        <v>596</v>
      </c>
      <c r="G63" s="316" t="s">
        <v>589</v>
      </c>
      <c r="H63" s="316"/>
      <c r="I63" s="317"/>
      <c r="J63" s="317"/>
      <c r="K63" s="317"/>
      <c r="L63" s="317"/>
      <c r="M63" s="316" t="s">
        <v>597</v>
      </c>
      <c r="N63" s="316" t="s">
        <v>589</v>
      </c>
    </row>
    <row r="64" spans="1:44">
      <c r="A64" s="309">
        <f>A52+A42+A32</f>
        <v>768943571</v>
      </c>
      <c r="B64" s="309">
        <f>B52+B42+B32</f>
        <v>173840008</v>
      </c>
      <c r="C64" s="315">
        <f>A64*B64/100</f>
        <v>1336731565341885.8</v>
      </c>
      <c r="D64" s="309">
        <f>D52+D42+D32</f>
        <v>173840008</v>
      </c>
      <c r="E64" s="315">
        <f>C64*D64/100</f>
        <v>2.3237742601288596E+21</v>
      </c>
      <c r="F64" s="309">
        <f>F52+F42+F3</f>
        <v>0</v>
      </c>
      <c r="G64" s="315">
        <f>E64*F64/100</f>
        <v>0</v>
      </c>
      <c r="H64" s="303"/>
      <c r="I64" s="304"/>
      <c r="J64" s="304"/>
      <c r="K64" s="304"/>
      <c r="L64" s="304"/>
      <c r="M64" s="325">
        <f>M52+M42+M32</f>
        <v>0</v>
      </c>
      <c r="N64" s="315">
        <f>L64*M64/100</f>
        <v>0</v>
      </c>
    </row>
    <row r="65" spans="1:14">
      <c r="A65" s="303"/>
      <c r="B65" s="303"/>
      <c r="C65" s="303"/>
      <c r="D65" s="303"/>
      <c r="E65" s="303"/>
      <c r="F65" s="303"/>
      <c r="G65" s="303"/>
      <c r="H65" s="303"/>
      <c r="I65" s="304"/>
      <c r="J65" s="304"/>
      <c r="K65" s="304"/>
      <c r="L65" s="304"/>
      <c r="M65" s="305"/>
      <c r="N65" s="303"/>
    </row>
  </sheetData>
  <mergeCells count="88">
    <mergeCell ref="AG22:AG23"/>
    <mergeCell ref="A57:O57"/>
    <mergeCell ref="A62:N62"/>
    <mergeCell ref="A11:M11"/>
    <mergeCell ref="A17:M17"/>
    <mergeCell ref="A22:M23"/>
    <mergeCell ref="A45:O45"/>
    <mergeCell ref="A50:N50"/>
    <mergeCell ref="A40:N40"/>
    <mergeCell ref="D12:D16"/>
    <mergeCell ref="E12:E16"/>
    <mergeCell ref="AB22:AB23"/>
    <mergeCell ref="AC22:AC23"/>
    <mergeCell ref="AD22:AD23"/>
    <mergeCell ref="AE22:AE23"/>
    <mergeCell ref="AF22:AF23"/>
    <mergeCell ref="G8:G9"/>
    <mergeCell ref="H8:H9"/>
    <mergeCell ref="I8:I9"/>
    <mergeCell ref="J8:J9"/>
    <mergeCell ref="B12:B16"/>
    <mergeCell ref="C12:C16"/>
    <mergeCell ref="A25:O25"/>
    <mergeCell ref="A30:N30"/>
    <mergeCell ref="A35:O35"/>
    <mergeCell ref="V22:V23"/>
    <mergeCell ref="W22:W23"/>
    <mergeCell ref="AS18:AS20"/>
    <mergeCell ref="AQ20:AQ21"/>
    <mergeCell ref="AR20:AR21"/>
    <mergeCell ref="J18:J19"/>
    <mergeCell ref="K18:K19"/>
    <mergeCell ref="L18:L19"/>
    <mergeCell ref="T18:T19"/>
    <mergeCell ref="U18:U19"/>
    <mergeCell ref="V18:V21"/>
    <mergeCell ref="W18:W21"/>
    <mergeCell ref="AQ18:AQ19"/>
    <mergeCell ref="AR18:AR19"/>
    <mergeCell ref="AS12:AS16"/>
    <mergeCell ref="A18:A20"/>
    <mergeCell ref="B18:B21"/>
    <mergeCell ref="D18:D20"/>
    <mergeCell ref="E18:E20"/>
    <mergeCell ref="F18:F20"/>
    <mergeCell ref="G18:G19"/>
    <mergeCell ref="H18:H19"/>
    <mergeCell ref="I18:I19"/>
    <mergeCell ref="F12:F16"/>
    <mergeCell ref="K12:K16"/>
    <mergeCell ref="L12:L16"/>
    <mergeCell ref="U12:U16"/>
    <mergeCell ref="V12:V16"/>
    <mergeCell ref="W12:W16"/>
    <mergeCell ref="A12:A16"/>
    <mergeCell ref="K7:K10"/>
    <mergeCell ref="L7:L10"/>
    <mergeCell ref="U7:U8"/>
    <mergeCell ref="V7:V8"/>
    <mergeCell ref="W7:W8"/>
    <mergeCell ref="AS7:AS10"/>
    <mergeCell ref="AR5:AR6"/>
    <mergeCell ref="A7:A10"/>
    <mergeCell ref="B7:B10"/>
    <mergeCell ref="C7:C8"/>
    <mergeCell ref="D7:D8"/>
    <mergeCell ref="E7:E8"/>
    <mergeCell ref="F7:F10"/>
    <mergeCell ref="Q5:Q6"/>
    <mergeCell ref="R5:R6"/>
    <mergeCell ref="S5:S6"/>
    <mergeCell ref="T5:W5"/>
    <mergeCell ref="AQ5:AQ6"/>
    <mergeCell ref="A5:B5"/>
    <mergeCell ref="C5:E5"/>
    <mergeCell ref="G5:J5"/>
    <mergeCell ref="P5:P6"/>
    <mergeCell ref="A1:AR1"/>
    <mergeCell ref="AT1:AX1"/>
    <mergeCell ref="A2:AR2"/>
    <mergeCell ref="A4:AR4"/>
    <mergeCell ref="K5:K6"/>
    <mergeCell ref="L5:L6"/>
    <mergeCell ref="M5:M6"/>
    <mergeCell ref="N5:N6"/>
    <mergeCell ref="O5:O6"/>
    <mergeCell ref="X5:AP5"/>
    <mergeCell ref="B3:AR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6EB24-02E6-48B2-8F8B-E1AD72FAC8F9}">
  <dimension ref="A1:AX91"/>
  <sheetViews>
    <sheetView topLeftCell="S1" zoomScale="70" zoomScaleNormal="70" workbookViewId="0">
      <selection activeCell="W47" sqref="W47"/>
    </sheetView>
  </sheetViews>
  <sheetFormatPr baseColWidth="10" defaultColWidth="11.42578125" defaultRowHeight="14.25"/>
  <cols>
    <col min="1" max="1" width="29.28515625" style="3" customWidth="1"/>
    <col min="2" max="2" width="26.85546875" style="3" customWidth="1"/>
    <col min="3" max="3" width="32.140625" style="3" customWidth="1"/>
    <col min="4" max="4" width="30.42578125" style="3" customWidth="1"/>
    <col min="5" max="5" width="18.42578125" style="3" customWidth="1"/>
    <col min="6" max="6" width="20.28515625" style="3" customWidth="1"/>
    <col min="7" max="7" width="37.42578125" style="3" customWidth="1"/>
    <col min="8" max="8" width="15" style="3" hidden="1" customWidth="1"/>
    <col min="9" max="10" width="12.7109375" style="2" hidden="1" customWidth="1"/>
    <col min="11" max="11" width="38.42578125" style="2" hidden="1" customWidth="1"/>
    <col min="12" max="12" width="57.42578125" style="2" hidden="1" customWidth="1"/>
    <col min="13" max="13" width="38.140625" style="5" customWidth="1"/>
    <col min="14" max="15" width="15" style="3" customWidth="1"/>
    <col min="16" max="16" width="16.28515625" style="3" customWidth="1"/>
    <col min="17" max="17" width="16.7109375" style="3" customWidth="1"/>
    <col min="18" max="18" width="16.85546875" style="3" customWidth="1"/>
    <col min="19" max="19" width="18" style="3" customWidth="1"/>
    <col min="20" max="20" width="20.140625" style="7" customWidth="1"/>
    <col min="21" max="21" width="21.42578125" style="3" customWidth="1"/>
    <col min="22" max="23" width="27.7109375" style="8" customWidth="1"/>
    <col min="24" max="24" width="25.42578125" style="8" bestFit="1" customWidth="1"/>
    <col min="25" max="28" width="25.42578125" style="8" hidden="1" customWidth="1"/>
    <col min="29" max="34" width="25.42578125" style="8" customWidth="1"/>
    <col min="35" max="37" width="34.28515625" style="8" customWidth="1"/>
    <col min="38" max="42" width="43.85546875" style="8" customWidth="1"/>
    <col min="43" max="43" width="20" style="3" customWidth="1"/>
    <col min="44" max="44" width="20.140625" style="3" customWidth="1"/>
    <col min="45" max="45" width="30.28515625" style="2" hidden="1" customWidth="1"/>
    <col min="46" max="47" width="17.42578125" style="2" customWidth="1"/>
    <col min="48" max="48" width="21.140625" style="2" customWidth="1"/>
    <col min="49" max="49" width="16.7109375" style="2" customWidth="1"/>
    <col min="50" max="50" width="20.140625" style="2" customWidth="1"/>
    <col min="51" max="16384" width="11.42578125" style="2"/>
  </cols>
  <sheetData>
    <row r="1" spans="1:50" s="218" customFormat="1" ht="30.75" customHeight="1" thickTop="1" thickBot="1">
      <c r="A1" s="807" t="s">
        <v>585</v>
      </c>
      <c r="B1" s="807"/>
      <c r="C1" s="807"/>
      <c r="D1" s="807"/>
      <c r="E1" s="807"/>
      <c r="F1" s="807"/>
      <c r="G1" s="807"/>
      <c r="H1" s="807"/>
      <c r="I1" s="807"/>
      <c r="J1" s="807"/>
      <c r="K1" s="807"/>
      <c r="L1" s="807"/>
      <c r="M1" s="807"/>
      <c r="N1" s="807"/>
      <c r="O1" s="807"/>
      <c r="P1" s="807"/>
      <c r="Q1" s="807"/>
      <c r="R1" s="807"/>
      <c r="S1" s="807"/>
      <c r="T1" s="807"/>
      <c r="U1" s="807"/>
      <c r="V1" s="807"/>
      <c r="W1" s="807"/>
      <c r="X1" s="807"/>
      <c r="Y1" s="807"/>
      <c r="Z1" s="807"/>
      <c r="AA1" s="807"/>
      <c r="AB1" s="807"/>
      <c r="AC1" s="807"/>
      <c r="AD1" s="807"/>
      <c r="AE1" s="807"/>
      <c r="AF1" s="807"/>
      <c r="AG1" s="807"/>
      <c r="AH1" s="807"/>
      <c r="AI1" s="807"/>
      <c r="AJ1" s="807"/>
      <c r="AK1" s="807"/>
      <c r="AL1" s="807"/>
      <c r="AM1" s="807"/>
      <c r="AN1" s="807"/>
      <c r="AO1" s="807"/>
      <c r="AP1" s="807"/>
      <c r="AQ1" s="807"/>
      <c r="AR1" s="807"/>
      <c r="AS1" s="24"/>
      <c r="AT1" s="790" t="s">
        <v>34</v>
      </c>
      <c r="AU1" s="790"/>
      <c r="AV1" s="790"/>
      <c r="AW1" s="790"/>
      <c r="AX1" s="791"/>
    </row>
    <row r="2" spans="1:50" s="218" customFormat="1" ht="45" customHeight="1" thickTop="1" thickBot="1">
      <c r="A2" s="774" t="s">
        <v>586</v>
      </c>
      <c r="B2" s="774"/>
      <c r="C2" s="774"/>
      <c r="D2" s="774"/>
      <c r="E2" s="774"/>
      <c r="F2" s="774"/>
      <c r="G2" s="774"/>
      <c r="H2" s="774"/>
      <c r="I2" s="774"/>
      <c r="J2" s="774"/>
      <c r="K2" s="774"/>
      <c r="L2" s="774"/>
      <c r="M2" s="774"/>
      <c r="N2" s="774"/>
      <c r="O2" s="774"/>
      <c r="P2" s="774"/>
      <c r="Q2" s="774"/>
      <c r="R2" s="774"/>
      <c r="S2" s="774"/>
      <c r="T2" s="774"/>
      <c r="U2" s="774"/>
      <c r="V2" s="774"/>
      <c r="W2" s="774"/>
      <c r="X2" s="774"/>
      <c r="Y2" s="774"/>
      <c r="Z2" s="774"/>
      <c r="AA2" s="774"/>
      <c r="AB2" s="774"/>
      <c r="AC2" s="774"/>
      <c r="AD2" s="774"/>
      <c r="AE2" s="774"/>
      <c r="AF2" s="774"/>
      <c r="AG2" s="774"/>
      <c r="AH2" s="774"/>
      <c r="AI2" s="774"/>
      <c r="AJ2" s="774"/>
      <c r="AK2" s="774"/>
      <c r="AL2" s="774"/>
      <c r="AM2" s="774"/>
      <c r="AN2" s="774"/>
      <c r="AO2" s="774"/>
      <c r="AP2" s="774"/>
      <c r="AQ2" s="774"/>
      <c r="AR2" s="774"/>
      <c r="AS2" s="24"/>
      <c r="AT2" s="294" t="s">
        <v>35</v>
      </c>
      <c r="AU2" s="22" t="s">
        <v>36</v>
      </c>
      <c r="AV2" s="18" t="s">
        <v>37</v>
      </c>
      <c r="AW2" s="18" t="s">
        <v>38</v>
      </c>
      <c r="AX2" s="18" t="s">
        <v>29</v>
      </c>
    </row>
    <row r="3" spans="1:50" s="218" customFormat="1" ht="25.5" customHeight="1" thickTop="1" thickBot="1">
      <c r="A3" s="828" t="s">
        <v>74</v>
      </c>
      <c r="B3" s="828"/>
      <c r="C3" s="828"/>
      <c r="D3" s="828"/>
      <c r="E3" s="828"/>
      <c r="F3" s="828"/>
      <c r="G3" s="828"/>
      <c r="H3" s="828"/>
      <c r="I3" s="828"/>
      <c r="J3" s="828"/>
      <c r="K3" s="828"/>
      <c r="L3" s="828"/>
      <c r="M3" s="828"/>
      <c r="N3" s="828"/>
      <c r="O3" s="828"/>
      <c r="P3" s="828"/>
      <c r="Q3" s="828"/>
      <c r="R3" s="828"/>
      <c r="S3" s="828"/>
      <c r="T3" s="828"/>
      <c r="U3" s="828"/>
      <c r="V3" s="828"/>
      <c r="W3" s="828"/>
      <c r="X3" s="828"/>
      <c r="Y3" s="828"/>
      <c r="Z3" s="828"/>
      <c r="AA3" s="828"/>
      <c r="AB3" s="828"/>
      <c r="AC3" s="828"/>
      <c r="AD3" s="828"/>
      <c r="AE3" s="828"/>
      <c r="AF3" s="828"/>
      <c r="AG3" s="828"/>
      <c r="AH3" s="828"/>
      <c r="AI3" s="828"/>
      <c r="AJ3" s="828"/>
      <c r="AK3" s="828"/>
      <c r="AL3" s="828"/>
      <c r="AM3" s="828"/>
      <c r="AN3" s="828"/>
      <c r="AO3" s="828"/>
      <c r="AP3" s="828"/>
      <c r="AQ3" s="828"/>
      <c r="AR3" s="828"/>
      <c r="AS3" s="25"/>
      <c r="AT3" s="30"/>
      <c r="AU3" s="23"/>
      <c r="AV3" s="19"/>
      <c r="AW3" s="20"/>
      <c r="AX3" s="21"/>
    </row>
    <row r="4" spans="1:50" s="218" customFormat="1" ht="27.95" customHeight="1" thickTop="1" thickBot="1">
      <c r="A4" s="775" t="s">
        <v>608</v>
      </c>
      <c r="B4" s="775"/>
      <c r="C4" s="775"/>
      <c r="D4" s="775"/>
      <c r="E4" s="775"/>
      <c r="F4" s="775"/>
      <c r="G4" s="775"/>
      <c r="H4" s="775"/>
      <c r="I4" s="775"/>
      <c r="J4" s="775"/>
      <c r="K4" s="775"/>
      <c r="L4" s="775"/>
      <c r="M4" s="775"/>
      <c r="N4" s="775"/>
      <c r="O4" s="775"/>
      <c r="P4" s="775"/>
      <c r="Q4" s="775"/>
      <c r="R4" s="775"/>
      <c r="S4" s="775"/>
      <c r="T4" s="775"/>
      <c r="U4" s="775"/>
      <c r="V4" s="775"/>
      <c r="W4" s="775"/>
      <c r="X4" s="775"/>
      <c r="Y4" s="775"/>
      <c r="Z4" s="775"/>
      <c r="AA4" s="775"/>
      <c r="AB4" s="775"/>
      <c r="AC4" s="775"/>
      <c r="AD4" s="775"/>
      <c r="AE4" s="775"/>
      <c r="AF4" s="775"/>
      <c r="AG4" s="775"/>
      <c r="AH4" s="775"/>
      <c r="AI4" s="775"/>
      <c r="AJ4" s="775"/>
      <c r="AK4" s="775"/>
      <c r="AL4" s="775"/>
      <c r="AM4" s="775"/>
      <c r="AN4" s="775"/>
      <c r="AO4" s="775"/>
      <c r="AP4" s="775"/>
      <c r="AQ4" s="775"/>
      <c r="AR4" s="775"/>
      <c r="AS4" s="25"/>
      <c r="AT4" s="30"/>
      <c r="AU4" s="23"/>
      <c r="AV4" s="19"/>
      <c r="AW4" s="20"/>
      <c r="AX4" s="21"/>
    </row>
    <row r="5" spans="1:50" s="218" customFormat="1" ht="27.95" customHeight="1" thickTop="1" thickBot="1">
      <c r="A5" s="873"/>
      <c r="B5" s="873"/>
      <c r="C5" s="873"/>
      <c r="D5" s="873"/>
      <c r="E5" s="873"/>
      <c r="F5" s="873"/>
      <c r="G5" s="873"/>
      <c r="H5" s="873"/>
      <c r="I5" s="873"/>
      <c r="J5" s="873"/>
      <c r="K5" s="873"/>
      <c r="L5" s="873"/>
      <c r="M5" s="873"/>
      <c r="N5" s="873"/>
      <c r="O5" s="873"/>
      <c r="P5" s="873"/>
      <c r="Q5" s="873"/>
      <c r="R5" s="873"/>
      <c r="S5" s="873"/>
      <c r="T5" s="873"/>
      <c r="U5" s="873"/>
      <c r="V5" s="873"/>
      <c r="W5" s="873"/>
      <c r="X5" s="873"/>
      <c r="Y5" s="873"/>
      <c r="Z5" s="873"/>
      <c r="AA5" s="873"/>
      <c r="AB5" s="873"/>
      <c r="AC5" s="873"/>
      <c r="AD5" s="873"/>
      <c r="AE5" s="873"/>
      <c r="AF5" s="873"/>
      <c r="AG5" s="873"/>
      <c r="AH5" s="873"/>
      <c r="AI5" s="873"/>
      <c r="AJ5" s="873"/>
      <c r="AK5" s="873"/>
      <c r="AL5" s="873"/>
      <c r="AM5" s="873"/>
      <c r="AN5" s="873"/>
      <c r="AO5" s="873"/>
      <c r="AP5" s="873"/>
      <c r="AQ5" s="873"/>
      <c r="AR5" s="873"/>
      <c r="AS5" s="165"/>
      <c r="AT5" s="30"/>
      <c r="AU5" s="23"/>
      <c r="AV5" s="19"/>
      <c r="AW5" s="20"/>
      <c r="AX5" s="21"/>
    </row>
    <row r="6" spans="1:50" ht="27.95" customHeight="1" thickTop="1" thickBot="1">
      <c r="A6" s="873"/>
      <c r="B6" s="873"/>
      <c r="C6" s="873" t="s">
        <v>45</v>
      </c>
      <c r="D6" s="873"/>
      <c r="E6" s="873"/>
      <c r="F6" s="385"/>
      <c r="G6" s="873" t="s">
        <v>311</v>
      </c>
      <c r="H6" s="873"/>
      <c r="I6" s="873"/>
      <c r="J6" s="873"/>
      <c r="K6" s="864" t="s">
        <v>44</v>
      </c>
      <c r="L6" s="864" t="s">
        <v>10</v>
      </c>
      <c r="M6" s="865" t="s">
        <v>1</v>
      </c>
      <c r="N6" s="863" t="s">
        <v>48</v>
      </c>
      <c r="O6" s="863" t="s">
        <v>2</v>
      </c>
      <c r="P6" s="863" t="s">
        <v>3</v>
      </c>
      <c r="Q6" s="863" t="s">
        <v>4</v>
      </c>
      <c r="R6" s="863" t="s">
        <v>5</v>
      </c>
      <c r="S6" s="863" t="s">
        <v>6</v>
      </c>
      <c r="T6" s="872" t="s">
        <v>7</v>
      </c>
      <c r="U6" s="872"/>
      <c r="V6" s="872"/>
      <c r="W6" s="872"/>
      <c r="X6" s="872"/>
      <c r="Y6" s="883" t="s">
        <v>564</v>
      </c>
      <c r="Z6" s="883"/>
      <c r="AA6" s="883"/>
      <c r="AB6" s="883"/>
      <c r="AC6" s="883"/>
      <c r="AD6" s="883"/>
      <c r="AE6" s="883"/>
      <c r="AF6" s="883"/>
      <c r="AG6" s="883"/>
      <c r="AH6" s="883"/>
      <c r="AI6" s="883"/>
      <c r="AJ6" s="883"/>
      <c r="AK6" s="883"/>
      <c r="AL6" s="883"/>
      <c r="AM6" s="883"/>
      <c r="AN6" s="883"/>
      <c r="AO6" s="883"/>
      <c r="AP6" s="883"/>
      <c r="AQ6" s="338" t="s">
        <v>8</v>
      </c>
      <c r="AR6" s="332" t="s">
        <v>9</v>
      </c>
      <c r="AS6" s="166"/>
      <c r="AT6" s="22" t="s">
        <v>39</v>
      </c>
      <c r="AU6" s="17" t="s">
        <v>30</v>
      </c>
      <c r="AV6" s="18" t="s">
        <v>31</v>
      </c>
      <c r="AW6" s="18" t="s">
        <v>32</v>
      </c>
      <c r="AX6" s="18" t="s">
        <v>33</v>
      </c>
    </row>
    <row r="7" spans="1:50" ht="68.25" customHeight="1" thickTop="1">
      <c r="A7" s="332" t="s">
        <v>42</v>
      </c>
      <c r="B7" s="332" t="s">
        <v>43</v>
      </c>
      <c r="C7" s="332" t="s">
        <v>11</v>
      </c>
      <c r="D7" s="332" t="s">
        <v>52</v>
      </c>
      <c r="E7" s="332" t="s">
        <v>47</v>
      </c>
      <c r="F7" s="332" t="s">
        <v>41</v>
      </c>
      <c r="G7" s="333" t="s">
        <v>46</v>
      </c>
      <c r="H7" s="332" t="s">
        <v>52</v>
      </c>
      <c r="I7" s="332" t="s">
        <v>12</v>
      </c>
      <c r="J7" s="332" t="s">
        <v>47</v>
      </c>
      <c r="K7" s="864"/>
      <c r="L7" s="864"/>
      <c r="M7" s="865"/>
      <c r="N7" s="863"/>
      <c r="O7" s="863"/>
      <c r="P7" s="863"/>
      <c r="Q7" s="863"/>
      <c r="R7" s="863"/>
      <c r="S7" s="863"/>
      <c r="T7" s="332" t="s">
        <v>13</v>
      </c>
      <c r="U7" s="332" t="s">
        <v>14</v>
      </c>
      <c r="V7" s="293" t="s">
        <v>15</v>
      </c>
      <c r="W7" s="293" t="s">
        <v>695</v>
      </c>
      <c r="X7" s="293" t="s">
        <v>16</v>
      </c>
      <c r="Y7" s="338" t="s">
        <v>565</v>
      </c>
      <c r="Z7" s="338" t="s">
        <v>566</v>
      </c>
      <c r="AA7" s="338" t="s">
        <v>567</v>
      </c>
      <c r="AB7" s="338" t="s">
        <v>568</v>
      </c>
      <c r="AC7" s="338" t="s">
        <v>569</v>
      </c>
      <c r="AD7" s="338" t="s">
        <v>570</v>
      </c>
      <c r="AE7" s="338" t="s">
        <v>571</v>
      </c>
      <c r="AF7" s="338" t="s">
        <v>572</v>
      </c>
      <c r="AG7" s="338" t="s">
        <v>573</v>
      </c>
      <c r="AH7" s="338" t="s">
        <v>574</v>
      </c>
      <c r="AI7" s="338" t="s">
        <v>575</v>
      </c>
      <c r="AJ7" s="338" t="s">
        <v>576</v>
      </c>
      <c r="AK7" s="338" t="s">
        <v>577</v>
      </c>
      <c r="AL7" s="338" t="s">
        <v>578</v>
      </c>
      <c r="AM7" s="338" t="s">
        <v>579</v>
      </c>
      <c r="AN7" s="338" t="s">
        <v>580</v>
      </c>
      <c r="AO7" s="338" t="s">
        <v>581</v>
      </c>
      <c r="AP7" s="338" t="s">
        <v>582</v>
      </c>
      <c r="AQ7" s="338"/>
      <c r="AR7" s="332" t="s">
        <v>9</v>
      </c>
      <c r="AS7" s="166"/>
    </row>
    <row r="8" spans="1:50" s="218" customFormat="1" ht="120.75" customHeight="1">
      <c r="A8" s="886" t="s">
        <v>221</v>
      </c>
      <c r="B8" s="886" t="s">
        <v>76</v>
      </c>
      <c r="C8" s="886" t="s">
        <v>77</v>
      </c>
      <c r="D8" s="886" t="s">
        <v>53</v>
      </c>
      <c r="E8" s="886">
        <v>20</v>
      </c>
      <c r="F8" s="886" t="s">
        <v>83</v>
      </c>
      <c r="G8" s="886" t="s">
        <v>84</v>
      </c>
      <c r="H8" s="886" t="s">
        <v>18</v>
      </c>
      <c r="I8" s="884">
        <v>83</v>
      </c>
      <c r="J8" s="885">
        <v>85</v>
      </c>
      <c r="K8" s="885"/>
      <c r="L8" s="885" t="s">
        <v>95</v>
      </c>
      <c r="M8" s="204" t="s">
        <v>468</v>
      </c>
      <c r="N8" s="186">
        <v>80</v>
      </c>
      <c r="O8" s="379" t="s">
        <v>358</v>
      </c>
      <c r="P8" s="186">
        <v>20</v>
      </c>
      <c r="Q8" s="186">
        <v>20</v>
      </c>
      <c r="R8" s="186">
        <v>20</v>
      </c>
      <c r="S8" s="186">
        <v>20</v>
      </c>
      <c r="T8" s="889" t="s">
        <v>382</v>
      </c>
      <c r="U8" s="890"/>
      <c r="V8" s="888">
        <v>318985920</v>
      </c>
      <c r="W8" s="444"/>
      <c r="X8" s="888">
        <f t="shared" ref="X8:X21" si="0">V8</f>
        <v>318985920</v>
      </c>
      <c r="Y8" s="338"/>
      <c r="Z8" s="338"/>
      <c r="AA8" s="338"/>
      <c r="AB8" s="338"/>
      <c r="AC8" s="338">
        <v>96381379</v>
      </c>
      <c r="AD8" s="338">
        <v>39069116</v>
      </c>
      <c r="AE8" s="338"/>
      <c r="AF8" s="338"/>
      <c r="AG8" s="338">
        <f>+AC8+AD8+AE8+AF8</f>
        <v>135450495</v>
      </c>
      <c r="AH8" s="892">
        <f>+(AG8+AG9)/X8</f>
        <v>0.84925688883070449</v>
      </c>
      <c r="AI8" s="338"/>
      <c r="AJ8" s="338"/>
      <c r="AK8" s="338"/>
      <c r="AL8" s="338"/>
      <c r="AM8" s="338"/>
      <c r="AN8" s="338"/>
      <c r="AO8" s="338"/>
      <c r="AP8" s="338"/>
      <c r="AQ8" s="338" t="s">
        <v>22</v>
      </c>
      <c r="AR8" s="338" t="s">
        <v>22</v>
      </c>
      <c r="AS8" s="867" t="s">
        <v>336</v>
      </c>
    </row>
    <row r="9" spans="1:50" s="218" customFormat="1" ht="120.75" customHeight="1">
      <c r="A9" s="886"/>
      <c r="B9" s="886"/>
      <c r="C9" s="886"/>
      <c r="D9" s="886"/>
      <c r="E9" s="886"/>
      <c r="F9" s="886"/>
      <c r="G9" s="886"/>
      <c r="H9" s="886"/>
      <c r="I9" s="884"/>
      <c r="J9" s="885"/>
      <c r="K9" s="885"/>
      <c r="L9" s="885"/>
      <c r="M9" s="204" t="s">
        <v>469</v>
      </c>
      <c r="N9" s="186">
        <v>10</v>
      </c>
      <c r="O9" s="379" t="s">
        <v>358</v>
      </c>
      <c r="P9" s="186">
        <v>2</v>
      </c>
      <c r="Q9" s="186">
        <v>2</v>
      </c>
      <c r="R9" s="186">
        <v>2</v>
      </c>
      <c r="S9" s="186">
        <v>2</v>
      </c>
      <c r="T9" s="889"/>
      <c r="U9" s="890"/>
      <c r="V9" s="888"/>
      <c r="W9" s="444"/>
      <c r="X9" s="888"/>
      <c r="Y9" s="338"/>
      <c r="Z9" s="338"/>
      <c r="AA9" s="338"/>
      <c r="AB9" s="338"/>
      <c r="AC9" s="338">
        <v>96381379</v>
      </c>
      <c r="AD9" s="474">
        <v>39069116</v>
      </c>
      <c r="AE9" s="338"/>
      <c r="AF9" s="338"/>
      <c r="AG9" s="441">
        <f t="shared" ref="AG9:AG25" si="1">+AC9+AD9+AE9+AF9</f>
        <v>135450495</v>
      </c>
      <c r="AH9" s="893"/>
      <c r="AI9" s="338"/>
      <c r="AJ9" s="338"/>
      <c r="AK9" s="338"/>
      <c r="AL9" s="338"/>
      <c r="AM9" s="338"/>
      <c r="AN9" s="338"/>
      <c r="AO9" s="338"/>
      <c r="AP9" s="338"/>
      <c r="AQ9" s="338"/>
      <c r="AR9" s="338"/>
      <c r="AS9" s="868"/>
    </row>
    <row r="10" spans="1:50" s="218" customFormat="1" ht="120.75" customHeight="1">
      <c r="A10" s="886"/>
      <c r="B10" s="886"/>
      <c r="C10" s="886" t="s">
        <v>78</v>
      </c>
      <c r="D10" s="886" t="s">
        <v>82</v>
      </c>
      <c r="E10" s="886">
        <v>0</v>
      </c>
      <c r="F10" s="886"/>
      <c r="G10" s="886" t="s">
        <v>85</v>
      </c>
      <c r="H10" s="886" t="s">
        <v>86</v>
      </c>
      <c r="I10" s="885">
        <v>69.7</v>
      </c>
      <c r="J10" s="885">
        <v>69.7</v>
      </c>
      <c r="K10" s="885"/>
      <c r="L10" s="885" t="s">
        <v>96</v>
      </c>
      <c r="M10" s="204" t="s">
        <v>470</v>
      </c>
      <c r="N10" s="186">
        <v>144</v>
      </c>
      <c r="O10" s="186" t="s">
        <v>19</v>
      </c>
      <c r="P10" s="186">
        <v>36</v>
      </c>
      <c r="Q10" s="186">
        <v>36</v>
      </c>
      <c r="R10" s="186">
        <v>36</v>
      </c>
      <c r="S10" s="186">
        <v>36</v>
      </c>
      <c r="T10" s="63"/>
      <c r="U10" s="59"/>
      <c r="V10" s="888">
        <v>125772872.90000001</v>
      </c>
      <c r="W10" s="444"/>
      <c r="X10" s="888">
        <f>V10</f>
        <v>125772872.90000001</v>
      </c>
      <c r="Y10" s="338"/>
      <c r="Z10" s="338"/>
      <c r="AA10" s="338"/>
      <c r="AB10" s="338"/>
      <c r="AC10" s="338">
        <v>42353021</v>
      </c>
      <c r="AD10" s="338">
        <v>31146501</v>
      </c>
      <c r="AE10" s="338"/>
      <c r="AF10" s="338"/>
      <c r="AG10" s="441">
        <f t="shared" si="1"/>
        <v>73499522</v>
      </c>
      <c r="AH10" s="892">
        <f>+(AG10+AG11)/X10</f>
        <v>1.1687658921242625</v>
      </c>
      <c r="AI10" s="338"/>
      <c r="AJ10" s="338"/>
      <c r="AK10" s="338"/>
      <c r="AL10" s="338"/>
      <c r="AM10" s="338"/>
      <c r="AN10" s="338"/>
      <c r="AO10" s="338"/>
      <c r="AP10" s="338"/>
      <c r="AQ10" s="338"/>
      <c r="AR10" s="338"/>
      <c r="AS10" s="868"/>
    </row>
    <row r="11" spans="1:50" s="218" customFormat="1" ht="107.25" customHeight="1">
      <c r="A11" s="886"/>
      <c r="B11" s="886"/>
      <c r="C11" s="886"/>
      <c r="D11" s="886"/>
      <c r="E11" s="886"/>
      <c r="F11" s="886"/>
      <c r="G11" s="886"/>
      <c r="H11" s="886"/>
      <c r="I11" s="885"/>
      <c r="J11" s="885"/>
      <c r="K11" s="885"/>
      <c r="L11" s="885"/>
      <c r="M11" s="186" t="s">
        <v>471</v>
      </c>
      <c r="N11" s="186">
        <v>12</v>
      </c>
      <c r="O11" s="186" t="s">
        <v>19</v>
      </c>
      <c r="P11" s="186">
        <v>3</v>
      </c>
      <c r="Q11" s="186">
        <v>3</v>
      </c>
      <c r="R11" s="186">
        <v>3</v>
      </c>
      <c r="S11" s="186">
        <v>3</v>
      </c>
      <c r="T11" s="63" t="s">
        <v>382</v>
      </c>
      <c r="U11" s="59"/>
      <c r="V11" s="888"/>
      <c r="W11" s="444"/>
      <c r="X11" s="888"/>
      <c r="Y11" s="338"/>
      <c r="Z11" s="338"/>
      <c r="AA11" s="338"/>
      <c r="AB11" s="338"/>
      <c r="AC11" s="338">
        <v>42353021</v>
      </c>
      <c r="AD11" s="474">
        <v>31146501</v>
      </c>
      <c r="AE11" s="338"/>
      <c r="AF11" s="338"/>
      <c r="AG11" s="441">
        <f t="shared" si="1"/>
        <v>73499522</v>
      </c>
      <c r="AH11" s="893"/>
      <c r="AI11" s="338"/>
      <c r="AJ11" s="338"/>
      <c r="AK11" s="338"/>
      <c r="AL11" s="338"/>
      <c r="AM11" s="338"/>
      <c r="AN11" s="338"/>
      <c r="AO11" s="338"/>
      <c r="AP11" s="338"/>
      <c r="AQ11" s="338" t="s">
        <v>22</v>
      </c>
      <c r="AR11" s="338" t="s">
        <v>22</v>
      </c>
      <c r="AS11" s="868"/>
    </row>
    <row r="12" spans="1:50" s="218" customFormat="1" ht="107.25" customHeight="1">
      <c r="A12" s="886"/>
      <c r="B12" s="886"/>
      <c r="C12" s="886" t="s">
        <v>79</v>
      </c>
      <c r="D12" s="886" t="s">
        <v>82</v>
      </c>
      <c r="E12" s="886">
        <v>0.97</v>
      </c>
      <c r="F12" s="886"/>
      <c r="G12" s="886" t="s">
        <v>87</v>
      </c>
      <c r="H12" s="886" t="s">
        <v>18</v>
      </c>
      <c r="I12" s="885">
        <v>75</v>
      </c>
      <c r="J12" s="885">
        <v>76</v>
      </c>
      <c r="K12" s="885"/>
      <c r="L12" s="885" t="s">
        <v>97</v>
      </c>
      <c r="M12" s="204" t="s">
        <v>472</v>
      </c>
      <c r="N12" s="186">
        <v>100</v>
      </c>
      <c r="O12" s="379" t="s">
        <v>358</v>
      </c>
      <c r="P12" s="186">
        <v>25</v>
      </c>
      <c r="Q12" s="186">
        <v>25</v>
      </c>
      <c r="R12" s="186">
        <v>25</v>
      </c>
      <c r="S12" s="186">
        <v>25</v>
      </c>
      <c r="T12" s="63"/>
      <c r="U12" s="59"/>
      <c r="V12" s="888">
        <f>63000000+67244386.1536</f>
        <v>130244386.15360001</v>
      </c>
      <c r="W12" s="444"/>
      <c r="X12" s="888">
        <f>V12</f>
        <v>130244386.15360001</v>
      </c>
      <c r="Y12" s="338"/>
      <c r="Z12" s="338"/>
      <c r="AA12" s="338"/>
      <c r="AB12" s="338"/>
      <c r="AC12" s="338">
        <v>19806612</v>
      </c>
      <c r="AD12" s="338">
        <v>10862682</v>
      </c>
      <c r="AE12" s="338"/>
      <c r="AF12" s="338"/>
      <c r="AG12" s="441">
        <f t="shared" si="1"/>
        <v>30669294</v>
      </c>
      <c r="AH12" s="479">
        <f>+(AG12+AG13)/X12</f>
        <v>0.47094995655061928</v>
      </c>
      <c r="AI12" s="338"/>
      <c r="AJ12" s="338"/>
      <c r="AK12" s="338"/>
      <c r="AL12" s="338"/>
      <c r="AM12" s="338"/>
      <c r="AN12" s="338"/>
      <c r="AO12" s="338"/>
      <c r="AP12" s="338"/>
      <c r="AQ12" s="338"/>
      <c r="AR12" s="338"/>
      <c r="AS12" s="868"/>
    </row>
    <row r="13" spans="1:50" s="218" customFormat="1" ht="96" customHeight="1">
      <c r="A13" s="886"/>
      <c r="B13" s="886"/>
      <c r="C13" s="886"/>
      <c r="D13" s="886"/>
      <c r="E13" s="886"/>
      <c r="F13" s="886"/>
      <c r="G13" s="886"/>
      <c r="H13" s="886"/>
      <c r="I13" s="885"/>
      <c r="J13" s="885"/>
      <c r="K13" s="885"/>
      <c r="L13" s="885"/>
      <c r="M13" s="204" t="s">
        <v>473</v>
      </c>
      <c r="N13" s="186">
        <v>85</v>
      </c>
      <c r="O13" s="379" t="s">
        <v>358</v>
      </c>
      <c r="P13" s="186">
        <v>21.25</v>
      </c>
      <c r="Q13" s="186">
        <v>21.25</v>
      </c>
      <c r="R13" s="186">
        <v>21.25</v>
      </c>
      <c r="S13" s="186">
        <v>21.25</v>
      </c>
      <c r="T13" s="63" t="s">
        <v>382</v>
      </c>
      <c r="U13" s="59"/>
      <c r="V13" s="888"/>
      <c r="W13" s="444"/>
      <c r="X13" s="888"/>
      <c r="Y13" s="338"/>
      <c r="Z13" s="338"/>
      <c r="AA13" s="338"/>
      <c r="AB13" s="338"/>
      <c r="AC13" s="338">
        <v>19806612</v>
      </c>
      <c r="AD13" s="474">
        <v>10862682</v>
      </c>
      <c r="AE13" s="338"/>
      <c r="AF13" s="338"/>
      <c r="AG13" s="441">
        <f t="shared" si="1"/>
        <v>30669294</v>
      </c>
      <c r="AH13" s="479" t="e">
        <f>+(AG13+AG14)/X13</f>
        <v>#DIV/0!</v>
      </c>
      <c r="AI13" s="338"/>
      <c r="AJ13" s="338"/>
      <c r="AK13" s="338"/>
      <c r="AL13" s="338"/>
      <c r="AM13" s="338"/>
      <c r="AN13" s="338"/>
      <c r="AO13" s="338"/>
      <c r="AP13" s="338"/>
      <c r="AQ13" s="338" t="s">
        <v>22</v>
      </c>
      <c r="AR13" s="338" t="s">
        <v>22</v>
      </c>
      <c r="AS13" s="868"/>
    </row>
    <row r="14" spans="1:50" s="218" customFormat="1" ht="106.5" customHeight="1">
      <c r="A14" s="886"/>
      <c r="B14" s="886"/>
      <c r="C14" s="55" t="s">
        <v>80</v>
      </c>
      <c r="D14" s="186" t="s">
        <v>17</v>
      </c>
      <c r="E14" s="186">
        <v>0</v>
      </c>
      <c r="F14" s="886"/>
      <c r="G14" s="57" t="s">
        <v>88</v>
      </c>
      <c r="H14" s="57" t="s">
        <v>18</v>
      </c>
      <c r="I14" s="61">
        <v>9</v>
      </c>
      <c r="J14" s="61">
        <v>10</v>
      </c>
      <c r="K14" s="885"/>
      <c r="L14" s="885" t="s">
        <v>95</v>
      </c>
      <c r="M14" s="62" t="s">
        <v>474</v>
      </c>
      <c r="N14" s="186">
        <v>100</v>
      </c>
      <c r="O14" s="379" t="s">
        <v>358</v>
      </c>
      <c r="P14" s="186">
        <v>25</v>
      </c>
      <c r="Q14" s="186">
        <v>25</v>
      </c>
      <c r="R14" s="186">
        <v>25</v>
      </c>
      <c r="S14" s="186">
        <v>25</v>
      </c>
      <c r="T14" s="63" t="s">
        <v>382</v>
      </c>
      <c r="U14" s="59"/>
      <c r="V14" s="60">
        <f>56700000+1101853184.19+79890987.6576</f>
        <v>1238444171.8476</v>
      </c>
      <c r="W14" s="444"/>
      <c r="X14" s="60">
        <f t="shared" si="0"/>
        <v>1238444171.8476</v>
      </c>
      <c r="Y14" s="338"/>
      <c r="Z14" s="338"/>
      <c r="AA14" s="338"/>
      <c r="AB14" s="338"/>
      <c r="AC14" s="338">
        <v>96381379</v>
      </c>
      <c r="AD14" s="474">
        <v>39069116</v>
      </c>
      <c r="AE14" s="338"/>
      <c r="AF14" s="338"/>
      <c r="AG14" s="441">
        <f t="shared" si="1"/>
        <v>135450495</v>
      </c>
      <c r="AH14" s="479">
        <f>+(AG14)/X14</f>
        <v>0.10937149859401835</v>
      </c>
      <c r="AI14" s="338"/>
      <c r="AJ14" s="338"/>
      <c r="AK14" s="338"/>
      <c r="AL14" s="338"/>
      <c r="AM14" s="338"/>
      <c r="AN14" s="338"/>
      <c r="AO14" s="338"/>
      <c r="AP14" s="338"/>
      <c r="AQ14" s="338" t="s">
        <v>22</v>
      </c>
      <c r="AR14" s="338" t="s">
        <v>22</v>
      </c>
      <c r="AS14" s="868"/>
    </row>
    <row r="15" spans="1:50" s="218" customFormat="1" ht="102" customHeight="1">
      <c r="A15" s="886"/>
      <c r="B15" s="886"/>
      <c r="C15" s="887" t="s">
        <v>81</v>
      </c>
      <c r="D15" s="886" t="s">
        <v>82</v>
      </c>
      <c r="E15" s="886">
        <v>1.1599999999999999</v>
      </c>
      <c r="F15" s="886"/>
      <c r="G15" s="57" t="s">
        <v>89</v>
      </c>
      <c r="H15" s="57" t="s">
        <v>18</v>
      </c>
      <c r="I15" s="61">
        <v>75</v>
      </c>
      <c r="J15" s="61">
        <v>75</v>
      </c>
      <c r="K15" s="885"/>
      <c r="L15" s="885"/>
      <c r="M15" s="204" t="s">
        <v>470</v>
      </c>
      <c r="N15" s="186">
        <v>144</v>
      </c>
      <c r="O15" s="186" t="s">
        <v>19</v>
      </c>
      <c r="P15" s="186">
        <v>36</v>
      </c>
      <c r="Q15" s="186">
        <v>36</v>
      </c>
      <c r="R15" s="186">
        <v>36</v>
      </c>
      <c r="S15" s="186">
        <v>36</v>
      </c>
      <c r="T15" s="63" t="s">
        <v>382</v>
      </c>
      <c r="U15" s="59"/>
      <c r="V15" s="60">
        <v>125772872.90000001</v>
      </c>
      <c r="W15" s="444"/>
      <c r="X15" s="60">
        <f t="shared" si="0"/>
        <v>125772872.90000001</v>
      </c>
      <c r="Y15" s="338"/>
      <c r="Z15" s="338"/>
      <c r="AA15" s="338"/>
      <c r="AB15" s="338"/>
      <c r="AC15" s="338">
        <v>42353021</v>
      </c>
      <c r="AD15" s="474">
        <v>31146501</v>
      </c>
      <c r="AE15" s="338"/>
      <c r="AF15" s="338"/>
      <c r="AG15" s="441">
        <f t="shared" si="1"/>
        <v>73499522</v>
      </c>
      <c r="AH15" s="479">
        <f t="shared" ref="AH15" si="2">+(AG15)/X15</f>
        <v>0.58438294606213126</v>
      </c>
      <c r="AI15" s="338"/>
      <c r="AJ15" s="338"/>
      <c r="AK15" s="338"/>
      <c r="AL15" s="338"/>
      <c r="AM15" s="338"/>
      <c r="AN15" s="338"/>
      <c r="AO15" s="338"/>
      <c r="AP15" s="338"/>
      <c r="AQ15" s="338" t="s">
        <v>22</v>
      </c>
      <c r="AR15" s="338" t="s">
        <v>22</v>
      </c>
      <c r="AS15" s="868"/>
    </row>
    <row r="16" spans="1:50" s="218" customFormat="1" ht="102" customHeight="1">
      <c r="A16" s="886"/>
      <c r="B16" s="886"/>
      <c r="C16" s="887"/>
      <c r="D16" s="886"/>
      <c r="E16" s="886"/>
      <c r="F16" s="886"/>
      <c r="G16" s="886" t="s">
        <v>90</v>
      </c>
      <c r="H16" s="886" t="s">
        <v>18</v>
      </c>
      <c r="I16" s="885">
        <v>8</v>
      </c>
      <c r="J16" s="885">
        <v>5</v>
      </c>
      <c r="K16" s="885"/>
      <c r="L16" s="885" t="s">
        <v>97</v>
      </c>
      <c r="M16" s="204" t="s">
        <v>475</v>
      </c>
      <c r="N16" s="186">
        <v>80</v>
      </c>
      <c r="O16" s="379" t="s">
        <v>358</v>
      </c>
      <c r="P16" s="186">
        <v>20</v>
      </c>
      <c r="Q16" s="186">
        <v>20</v>
      </c>
      <c r="R16" s="186">
        <v>20</v>
      </c>
      <c r="S16" s="186">
        <v>20</v>
      </c>
      <c r="T16" s="63"/>
      <c r="U16" s="59"/>
      <c r="V16" s="888">
        <f>63000000+67244386.1536</f>
        <v>130244386.15360001</v>
      </c>
      <c r="W16" s="444"/>
      <c r="X16" s="888">
        <f>V16</f>
        <v>130244386.15360001</v>
      </c>
      <c r="Y16" s="338"/>
      <c r="Z16" s="338"/>
      <c r="AA16" s="338"/>
      <c r="AB16" s="338"/>
      <c r="AC16" s="338">
        <v>19806612</v>
      </c>
      <c r="AD16" s="474">
        <v>10862682</v>
      </c>
      <c r="AE16" s="338"/>
      <c r="AF16" s="338"/>
      <c r="AG16" s="441">
        <f t="shared" si="1"/>
        <v>30669294</v>
      </c>
      <c r="AH16" s="892">
        <f>+(AG16+AG17)/X16</f>
        <v>0.47094995655061928</v>
      </c>
      <c r="AI16" s="338"/>
      <c r="AJ16" s="338"/>
      <c r="AK16" s="338"/>
      <c r="AL16" s="338"/>
      <c r="AM16" s="338"/>
      <c r="AN16" s="338"/>
      <c r="AO16" s="338"/>
      <c r="AP16" s="338"/>
      <c r="AQ16" s="338"/>
      <c r="AR16" s="338"/>
      <c r="AS16" s="868"/>
    </row>
    <row r="17" spans="1:47" s="218" customFormat="1" ht="78.75" customHeight="1">
      <c r="A17" s="886"/>
      <c r="B17" s="886"/>
      <c r="C17" s="887"/>
      <c r="D17" s="886"/>
      <c r="E17" s="886"/>
      <c r="F17" s="886"/>
      <c r="G17" s="886"/>
      <c r="H17" s="886"/>
      <c r="I17" s="885"/>
      <c r="J17" s="885"/>
      <c r="K17" s="885"/>
      <c r="L17" s="885"/>
      <c r="M17" s="62" t="s">
        <v>476</v>
      </c>
      <c r="N17" s="186">
        <v>80</v>
      </c>
      <c r="O17" s="379" t="s">
        <v>358</v>
      </c>
      <c r="P17" s="186">
        <v>20</v>
      </c>
      <c r="Q17" s="186">
        <v>20</v>
      </c>
      <c r="R17" s="186">
        <v>20</v>
      </c>
      <c r="S17" s="186">
        <v>20</v>
      </c>
      <c r="T17" s="63" t="s">
        <v>23</v>
      </c>
      <c r="U17" s="59"/>
      <c r="V17" s="888"/>
      <c r="W17" s="444"/>
      <c r="X17" s="888"/>
      <c r="Y17" s="338"/>
      <c r="Z17" s="338"/>
      <c r="AA17" s="338"/>
      <c r="AB17" s="338"/>
      <c r="AC17" s="338">
        <v>19806612</v>
      </c>
      <c r="AD17" s="474">
        <v>10862682</v>
      </c>
      <c r="AE17" s="338"/>
      <c r="AF17" s="338"/>
      <c r="AG17" s="441">
        <f t="shared" si="1"/>
        <v>30669294</v>
      </c>
      <c r="AH17" s="893"/>
      <c r="AI17" s="338"/>
      <c r="AJ17" s="338"/>
      <c r="AK17" s="338"/>
      <c r="AL17" s="338"/>
      <c r="AM17" s="338"/>
      <c r="AN17" s="338"/>
      <c r="AO17" s="338"/>
      <c r="AP17" s="338"/>
      <c r="AQ17" s="338" t="s">
        <v>22</v>
      </c>
      <c r="AR17" s="338" t="s">
        <v>22</v>
      </c>
      <c r="AS17" s="868"/>
    </row>
    <row r="18" spans="1:47" s="218" customFormat="1" ht="96" customHeight="1">
      <c r="A18" s="886"/>
      <c r="B18" s="886"/>
      <c r="C18" s="887"/>
      <c r="D18" s="886"/>
      <c r="E18" s="886"/>
      <c r="F18" s="886"/>
      <c r="G18" s="57" t="s">
        <v>91</v>
      </c>
      <c r="H18" s="57" t="s">
        <v>18</v>
      </c>
      <c r="I18" s="61">
        <v>100</v>
      </c>
      <c r="J18" s="61">
        <v>100</v>
      </c>
      <c r="K18" s="58"/>
      <c r="L18" s="885"/>
      <c r="M18" s="62" t="s">
        <v>476</v>
      </c>
      <c r="N18" s="186">
        <v>100</v>
      </c>
      <c r="O18" s="379" t="s">
        <v>358</v>
      </c>
      <c r="P18" s="186">
        <v>25</v>
      </c>
      <c r="Q18" s="186">
        <v>25</v>
      </c>
      <c r="R18" s="186">
        <v>25</v>
      </c>
      <c r="S18" s="186">
        <v>25</v>
      </c>
      <c r="T18" s="63" t="s">
        <v>23</v>
      </c>
      <c r="U18" s="59"/>
      <c r="V18" s="60">
        <f>56700000+67244386.1536</f>
        <v>123944386.15360001</v>
      </c>
      <c r="W18" s="444"/>
      <c r="X18" s="60">
        <f t="shared" si="0"/>
        <v>123944386.15360001</v>
      </c>
      <c r="Y18" s="338"/>
      <c r="Z18" s="338"/>
      <c r="AA18" s="338"/>
      <c r="AB18" s="338"/>
      <c r="AC18" s="338">
        <v>19806612</v>
      </c>
      <c r="AD18" s="474">
        <v>10862682</v>
      </c>
      <c r="AE18" s="338"/>
      <c r="AF18" s="338"/>
      <c r="AG18" s="441">
        <f t="shared" si="1"/>
        <v>30669294</v>
      </c>
      <c r="AH18" s="479">
        <f t="shared" ref="AH18" si="3">+(AG18+AG19)/X18</f>
        <v>0.24744399445403362</v>
      </c>
      <c r="AI18" s="338"/>
      <c r="AJ18" s="338"/>
      <c r="AK18" s="338"/>
      <c r="AL18" s="338"/>
      <c r="AM18" s="338"/>
      <c r="AN18" s="338"/>
      <c r="AO18" s="338"/>
      <c r="AP18" s="338"/>
      <c r="AQ18" s="338" t="s">
        <v>22</v>
      </c>
      <c r="AR18" s="338" t="s">
        <v>22</v>
      </c>
      <c r="AS18" s="868"/>
    </row>
    <row r="19" spans="1:47" s="218" customFormat="1" ht="100.5" customHeight="1">
      <c r="A19" s="886"/>
      <c r="B19" s="886"/>
      <c r="C19" s="887"/>
      <c r="D19" s="886"/>
      <c r="E19" s="886"/>
      <c r="F19" s="886"/>
      <c r="G19" s="57" t="s">
        <v>92</v>
      </c>
      <c r="H19" s="57" t="s">
        <v>17</v>
      </c>
      <c r="I19" s="61">
        <v>1</v>
      </c>
      <c r="J19" s="61">
        <v>1</v>
      </c>
      <c r="K19" s="58"/>
      <c r="L19" s="61" t="s">
        <v>98</v>
      </c>
      <c r="M19" s="62" t="s">
        <v>477</v>
      </c>
      <c r="N19" s="186">
        <v>100</v>
      </c>
      <c r="O19" s="379" t="s">
        <v>358</v>
      </c>
      <c r="P19" s="186">
        <v>25</v>
      </c>
      <c r="Q19" s="186">
        <v>25</v>
      </c>
      <c r="R19" s="186">
        <v>25</v>
      </c>
      <c r="S19" s="186">
        <v>25</v>
      </c>
      <c r="T19" s="63">
        <v>1020100</v>
      </c>
      <c r="U19" s="59"/>
      <c r="V19" s="60">
        <v>89838668.807999998</v>
      </c>
      <c r="W19" s="444"/>
      <c r="X19" s="60">
        <f t="shared" si="0"/>
        <v>89838668.807999998</v>
      </c>
      <c r="Y19" s="338"/>
      <c r="Z19" s="338"/>
      <c r="AA19" s="338"/>
      <c r="AB19" s="338"/>
      <c r="AC19" s="338">
        <v>0</v>
      </c>
      <c r="AD19" s="338">
        <v>0</v>
      </c>
      <c r="AE19" s="338"/>
      <c r="AF19" s="338"/>
      <c r="AG19" s="441">
        <f t="shared" si="1"/>
        <v>0</v>
      </c>
      <c r="AH19" s="479"/>
      <c r="AI19" s="338"/>
      <c r="AJ19" s="338"/>
      <c r="AK19" s="338"/>
      <c r="AL19" s="338"/>
      <c r="AM19" s="338"/>
      <c r="AN19" s="338"/>
      <c r="AO19" s="338"/>
      <c r="AP19" s="338"/>
      <c r="AQ19" s="338" t="s">
        <v>22</v>
      </c>
      <c r="AR19" s="338" t="s">
        <v>22</v>
      </c>
      <c r="AS19" s="868"/>
    </row>
    <row r="20" spans="1:47" s="218" customFormat="1" ht="93" customHeight="1">
      <c r="A20" s="886"/>
      <c r="B20" s="886"/>
      <c r="C20" s="887"/>
      <c r="D20" s="886"/>
      <c r="E20" s="886"/>
      <c r="F20" s="886" t="s">
        <v>99</v>
      </c>
      <c r="G20" s="57" t="s">
        <v>100</v>
      </c>
      <c r="H20" s="57" t="s">
        <v>17</v>
      </c>
      <c r="I20" s="61">
        <v>1</v>
      </c>
      <c r="J20" s="61">
        <v>1</v>
      </c>
      <c r="K20" s="58"/>
      <c r="L20" s="61" t="s">
        <v>102</v>
      </c>
      <c r="M20" s="62" t="s">
        <v>478</v>
      </c>
      <c r="N20" s="186">
        <v>12</v>
      </c>
      <c r="O20" s="186" t="s">
        <v>19</v>
      </c>
      <c r="P20" s="186">
        <v>3</v>
      </c>
      <c r="Q20" s="186">
        <v>3</v>
      </c>
      <c r="R20" s="186">
        <v>3</v>
      </c>
      <c r="S20" s="186">
        <v>3</v>
      </c>
      <c r="T20" s="63" t="s">
        <v>382</v>
      </c>
      <c r="U20" s="59"/>
      <c r="V20" s="60">
        <v>30465079.77888</v>
      </c>
      <c r="W20" s="444"/>
      <c r="X20" s="60">
        <f t="shared" si="0"/>
        <v>30465079.77888</v>
      </c>
      <c r="Y20" s="338"/>
      <c r="Z20" s="338"/>
      <c r="AA20" s="338"/>
      <c r="AB20" s="338"/>
      <c r="AC20" s="338">
        <v>6716648</v>
      </c>
      <c r="AD20" s="338">
        <v>3790307</v>
      </c>
      <c r="AE20" s="338"/>
      <c r="AF20" s="338"/>
      <c r="AG20" s="441">
        <f t="shared" si="1"/>
        <v>10506955</v>
      </c>
      <c r="AH20" s="479">
        <f>+AG20/X20</f>
        <v>0.34488519564895331</v>
      </c>
      <c r="AI20" s="338"/>
      <c r="AJ20" s="338"/>
      <c r="AK20" s="338"/>
      <c r="AL20" s="338"/>
      <c r="AM20" s="338"/>
      <c r="AN20" s="338"/>
      <c r="AO20" s="338"/>
      <c r="AP20" s="338"/>
      <c r="AQ20" s="338" t="s">
        <v>22</v>
      </c>
      <c r="AR20" s="338" t="s">
        <v>22</v>
      </c>
      <c r="AS20" s="868"/>
    </row>
    <row r="21" spans="1:47" s="218" customFormat="1" ht="99.75" customHeight="1">
      <c r="A21" s="886"/>
      <c r="B21" s="886"/>
      <c r="C21" s="887"/>
      <c r="D21" s="886"/>
      <c r="E21" s="886"/>
      <c r="F21" s="886"/>
      <c r="G21" s="57" t="s">
        <v>101</v>
      </c>
      <c r="H21" s="57" t="s">
        <v>18</v>
      </c>
      <c r="I21" s="61" t="s">
        <v>51</v>
      </c>
      <c r="J21" s="61">
        <v>40</v>
      </c>
      <c r="K21" s="58"/>
      <c r="L21" s="61" t="s">
        <v>103</v>
      </c>
      <c r="M21" s="62" t="s">
        <v>479</v>
      </c>
      <c r="N21" s="186">
        <v>12</v>
      </c>
      <c r="O21" s="186" t="s">
        <v>17</v>
      </c>
      <c r="P21" s="186">
        <v>3</v>
      </c>
      <c r="Q21" s="186">
        <v>3</v>
      </c>
      <c r="R21" s="186">
        <v>3</v>
      </c>
      <c r="S21" s="186">
        <v>3</v>
      </c>
      <c r="T21" s="63" t="s">
        <v>382</v>
      </c>
      <c r="U21" s="59"/>
      <c r="V21" s="60">
        <v>30465079.77888</v>
      </c>
      <c r="W21" s="444"/>
      <c r="X21" s="60">
        <f t="shared" si="0"/>
        <v>30465079.77888</v>
      </c>
      <c r="Y21" s="338"/>
      <c r="Z21" s="338"/>
      <c r="AA21" s="338"/>
      <c r="AB21" s="338"/>
      <c r="AC21" s="338">
        <v>6716648</v>
      </c>
      <c r="AD21" s="338">
        <v>3790307</v>
      </c>
      <c r="AE21" s="338"/>
      <c r="AF21" s="338"/>
      <c r="AG21" s="441">
        <f t="shared" si="1"/>
        <v>10506955</v>
      </c>
      <c r="AH21" s="479">
        <f t="shared" ref="AH21:AH24" si="4">+AG21/X21</f>
        <v>0.34488519564895331</v>
      </c>
      <c r="AI21" s="338"/>
      <c r="AJ21" s="338"/>
      <c r="AK21" s="338"/>
      <c r="AL21" s="338"/>
      <c r="AM21" s="338"/>
      <c r="AN21" s="338"/>
      <c r="AO21" s="338"/>
      <c r="AP21" s="338"/>
      <c r="AQ21" s="338" t="s">
        <v>22</v>
      </c>
      <c r="AR21" s="338" t="s">
        <v>22</v>
      </c>
      <c r="AS21" s="868"/>
      <c r="AU21" s="183"/>
    </row>
    <row r="22" spans="1:47" s="218" customFormat="1" ht="78.75" customHeight="1">
      <c r="A22" s="886"/>
      <c r="B22" s="886"/>
      <c r="C22" s="887"/>
      <c r="D22" s="886"/>
      <c r="E22" s="886"/>
      <c r="F22" s="886" t="s">
        <v>104</v>
      </c>
      <c r="G22" s="57" t="s">
        <v>105</v>
      </c>
      <c r="H22" s="57" t="s">
        <v>108</v>
      </c>
      <c r="I22" s="61">
        <v>1.5</v>
      </c>
      <c r="J22" s="61">
        <v>1.3</v>
      </c>
      <c r="K22" s="58"/>
      <c r="L22" s="61" t="s">
        <v>110</v>
      </c>
      <c r="M22" s="62" t="s">
        <v>480</v>
      </c>
      <c r="N22" s="186">
        <v>100</v>
      </c>
      <c r="O22" s="379" t="s">
        <v>358</v>
      </c>
      <c r="P22" s="186">
        <v>25</v>
      </c>
      <c r="Q22" s="186">
        <v>25</v>
      </c>
      <c r="R22" s="186">
        <v>25</v>
      </c>
      <c r="S22" s="186">
        <v>25</v>
      </c>
      <c r="T22" s="63" t="s">
        <v>382</v>
      </c>
      <c r="U22" s="59"/>
      <c r="V22" s="60">
        <v>75857409.449279994</v>
      </c>
      <c r="W22" s="444"/>
      <c r="X22" s="60">
        <f>V22</f>
        <v>75857409.449279994</v>
      </c>
      <c r="Y22" s="338"/>
      <c r="Z22" s="338"/>
      <c r="AA22" s="338"/>
      <c r="AB22" s="338"/>
      <c r="AC22" s="338">
        <v>27610991</v>
      </c>
      <c r="AD22" s="474">
        <v>27610991</v>
      </c>
      <c r="AE22" s="338"/>
      <c r="AF22" s="338"/>
      <c r="AG22" s="441">
        <f t="shared" si="1"/>
        <v>55221982</v>
      </c>
      <c r="AH22" s="479">
        <f t="shared" si="4"/>
        <v>0.72797083898472281</v>
      </c>
      <c r="AI22" s="338"/>
      <c r="AJ22" s="338"/>
      <c r="AK22" s="338"/>
      <c r="AL22" s="338"/>
      <c r="AM22" s="338"/>
      <c r="AN22" s="338"/>
      <c r="AO22" s="338"/>
      <c r="AP22" s="338"/>
      <c r="AQ22" s="338" t="s">
        <v>22</v>
      </c>
      <c r="AR22" s="338" t="s">
        <v>22</v>
      </c>
      <c r="AS22" s="868"/>
    </row>
    <row r="23" spans="1:47" s="218" customFormat="1" ht="88.5" customHeight="1">
      <c r="A23" s="886"/>
      <c r="B23" s="886"/>
      <c r="C23" s="887"/>
      <c r="D23" s="886"/>
      <c r="E23" s="886"/>
      <c r="F23" s="886"/>
      <c r="G23" s="57" t="s">
        <v>106</v>
      </c>
      <c r="H23" s="57" t="s">
        <v>108</v>
      </c>
      <c r="I23" s="61">
        <v>1.59</v>
      </c>
      <c r="J23" s="61">
        <v>1.3</v>
      </c>
      <c r="K23" s="58"/>
      <c r="L23" s="61" t="s">
        <v>111</v>
      </c>
      <c r="M23" s="186" t="s">
        <v>481</v>
      </c>
      <c r="N23" s="186">
        <v>100</v>
      </c>
      <c r="O23" s="379" t="s">
        <v>358</v>
      </c>
      <c r="P23" s="186">
        <v>25</v>
      </c>
      <c r="Q23" s="186">
        <v>25</v>
      </c>
      <c r="R23" s="186">
        <v>25</v>
      </c>
      <c r="S23" s="186">
        <v>25</v>
      </c>
      <c r="T23" s="63" t="s">
        <v>382</v>
      </c>
      <c r="U23" s="59"/>
      <c r="V23" s="60">
        <v>75857409.449279994</v>
      </c>
      <c r="W23" s="444"/>
      <c r="X23" s="60">
        <f>V23</f>
        <v>75857409.449279994</v>
      </c>
      <c r="Y23" s="338"/>
      <c r="Z23" s="338"/>
      <c r="AA23" s="338"/>
      <c r="AB23" s="338"/>
      <c r="AC23" s="338">
        <v>27610991</v>
      </c>
      <c r="AD23" s="474">
        <v>27610991</v>
      </c>
      <c r="AE23" s="338"/>
      <c r="AF23" s="338"/>
      <c r="AG23" s="441">
        <f t="shared" si="1"/>
        <v>55221982</v>
      </c>
      <c r="AH23" s="479">
        <f t="shared" si="4"/>
        <v>0.72797083898472281</v>
      </c>
      <c r="AI23" s="338"/>
      <c r="AJ23" s="338"/>
      <c r="AK23" s="338"/>
      <c r="AL23" s="338"/>
      <c r="AM23" s="338"/>
      <c r="AN23" s="338"/>
      <c r="AO23" s="338"/>
      <c r="AP23" s="338"/>
      <c r="AQ23" s="338" t="s">
        <v>22</v>
      </c>
      <c r="AR23" s="338" t="s">
        <v>22</v>
      </c>
      <c r="AS23" s="868"/>
    </row>
    <row r="24" spans="1:47" s="218" customFormat="1" ht="75" customHeight="1">
      <c r="A24" s="886"/>
      <c r="B24" s="886"/>
      <c r="C24" s="887"/>
      <c r="D24" s="886"/>
      <c r="E24" s="886"/>
      <c r="F24" s="886"/>
      <c r="G24" s="887" t="s">
        <v>107</v>
      </c>
      <c r="H24" s="886" t="s">
        <v>18</v>
      </c>
      <c r="I24" s="885">
        <v>73</v>
      </c>
      <c r="J24" s="885">
        <v>75</v>
      </c>
      <c r="K24" s="58"/>
      <c r="L24" s="61" t="s">
        <v>109</v>
      </c>
      <c r="M24" s="62" t="s">
        <v>482</v>
      </c>
      <c r="N24" s="186">
        <v>100</v>
      </c>
      <c r="O24" s="379" t="s">
        <v>358</v>
      </c>
      <c r="P24" s="186">
        <v>25</v>
      </c>
      <c r="Q24" s="186">
        <v>25</v>
      </c>
      <c r="R24" s="186">
        <v>25</v>
      </c>
      <c r="S24" s="186">
        <v>25</v>
      </c>
      <c r="T24" s="63" t="s">
        <v>382</v>
      </c>
      <c r="U24" s="59"/>
      <c r="V24" s="60">
        <v>75857409.449279994</v>
      </c>
      <c r="W24" s="444"/>
      <c r="X24" s="60">
        <f>V24</f>
        <v>75857409.449279994</v>
      </c>
      <c r="Y24" s="338"/>
      <c r="Z24" s="338"/>
      <c r="AA24" s="338"/>
      <c r="AB24" s="338"/>
      <c r="AC24" s="338">
        <v>27610991</v>
      </c>
      <c r="AD24" s="474">
        <v>27610991</v>
      </c>
      <c r="AE24" s="338"/>
      <c r="AF24" s="338"/>
      <c r="AG24" s="441">
        <f t="shared" si="1"/>
        <v>55221982</v>
      </c>
      <c r="AH24" s="479">
        <f t="shared" si="4"/>
        <v>0.72797083898472281</v>
      </c>
      <c r="AI24" s="338"/>
      <c r="AJ24" s="338"/>
      <c r="AK24" s="338"/>
      <c r="AL24" s="338"/>
      <c r="AM24" s="338"/>
      <c r="AN24" s="338"/>
      <c r="AO24" s="338"/>
      <c r="AP24" s="338"/>
      <c r="AQ24" s="338" t="s">
        <v>22</v>
      </c>
      <c r="AR24" s="338" t="s">
        <v>22</v>
      </c>
      <c r="AS24" s="868"/>
    </row>
    <row r="25" spans="1:47" s="218" customFormat="1" ht="99.75" customHeight="1">
      <c r="A25" s="886"/>
      <c r="B25" s="886"/>
      <c r="C25" s="887"/>
      <c r="D25" s="886"/>
      <c r="E25" s="886"/>
      <c r="F25" s="886"/>
      <c r="G25" s="887"/>
      <c r="H25" s="886"/>
      <c r="I25" s="885"/>
      <c r="J25" s="885"/>
      <c r="K25" s="58"/>
      <c r="L25" s="186" t="s">
        <v>112</v>
      </c>
      <c r="M25" s="62" t="s">
        <v>483</v>
      </c>
      <c r="N25" s="186">
        <v>100</v>
      </c>
      <c r="O25" s="379" t="s">
        <v>358</v>
      </c>
      <c r="P25" s="186">
        <v>25</v>
      </c>
      <c r="Q25" s="186">
        <v>25</v>
      </c>
      <c r="R25" s="186">
        <v>25</v>
      </c>
      <c r="S25" s="186">
        <v>25</v>
      </c>
      <c r="T25" s="63" t="s">
        <v>382</v>
      </c>
      <c r="U25" s="59"/>
      <c r="V25" s="60">
        <v>75857409.449279994</v>
      </c>
      <c r="W25" s="444"/>
      <c r="X25" s="60">
        <f>V25</f>
        <v>75857409.449279994</v>
      </c>
      <c r="Y25" s="338"/>
      <c r="Z25" s="338"/>
      <c r="AA25" s="338"/>
      <c r="AB25" s="338"/>
      <c r="AC25" s="338">
        <v>27610991</v>
      </c>
      <c r="AD25" s="474">
        <v>27610991</v>
      </c>
      <c r="AE25" s="338"/>
      <c r="AF25" s="338"/>
      <c r="AG25" s="441">
        <f t="shared" si="1"/>
        <v>55221982</v>
      </c>
      <c r="AH25" s="479">
        <f>+AG25/X25</f>
        <v>0.72797083898472281</v>
      </c>
      <c r="AI25" s="338"/>
      <c r="AJ25" s="338"/>
      <c r="AK25" s="338"/>
      <c r="AL25" s="338"/>
      <c r="AM25" s="338"/>
      <c r="AN25" s="338"/>
      <c r="AO25" s="338"/>
      <c r="AP25" s="338"/>
      <c r="AQ25" s="338" t="s">
        <v>22</v>
      </c>
      <c r="AR25" s="338" t="s">
        <v>22</v>
      </c>
      <c r="AS25" s="869"/>
    </row>
    <row r="26" spans="1:47" s="218" customFormat="1" ht="65.25" customHeight="1">
      <c r="A26" s="891" t="s">
        <v>607</v>
      </c>
      <c r="B26" s="891"/>
      <c r="C26" s="891"/>
      <c r="D26" s="891"/>
      <c r="E26" s="891"/>
      <c r="F26" s="891"/>
      <c r="G26" s="891"/>
      <c r="H26" s="891"/>
      <c r="I26" s="891"/>
      <c r="J26" s="891"/>
      <c r="K26" s="891"/>
      <c r="L26" s="891"/>
      <c r="M26" s="891"/>
      <c r="N26" s="331">
        <f>N21+N20+N15+N11+N10</f>
        <v>324</v>
      </c>
      <c r="O26" s="331" t="s">
        <v>17</v>
      </c>
      <c r="P26" s="331">
        <f>P21+P20+P15+P10+P11</f>
        <v>81</v>
      </c>
      <c r="Q26" s="331">
        <f t="shared" ref="Q26:S26" si="5">Q21+Q20+Q15+Q10+Q11</f>
        <v>81</v>
      </c>
      <c r="R26" s="331">
        <f t="shared" si="5"/>
        <v>81</v>
      </c>
      <c r="S26" s="331">
        <f t="shared" si="5"/>
        <v>81</v>
      </c>
      <c r="T26" s="281"/>
      <c r="U26" s="282"/>
      <c r="V26" s="894">
        <f>SUM(V8:V25)</f>
        <v>2647607462.2712793</v>
      </c>
      <c r="W26" s="447"/>
      <c r="X26" s="894">
        <f>SUM(X8:X25)</f>
        <v>2647607462.2712793</v>
      </c>
      <c r="Y26" s="331">
        <f t="shared" ref="Y26:AB26" si="6">Y21+Y20+Y15+Y10+Y11</f>
        <v>0</v>
      </c>
      <c r="Z26" s="331">
        <f t="shared" si="6"/>
        <v>0</v>
      </c>
      <c r="AA26" s="331">
        <f t="shared" si="6"/>
        <v>0</v>
      </c>
      <c r="AB26" s="331">
        <f t="shared" si="6"/>
        <v>0</v>
      </c>
      <c r="AC26" s="894">
        <f>SUM(AC8:AC25)</f>
        <v>639113520</v>
      </c>
      <c r="AD26" s="894">
        <f t="shared" ref="AD26:AG26" si="7">SUM(AD8:AD25)</f>
        <v>382984839</v>
      </c>
      <c r="AE26" s="894">
        <f t="shared" si="7"/>
        <v>0</v>
      </c>
      <c r="AF26" s="894">
        <f t="shared" si="7"/>
        <v>0</v>
      </c>
      <c r="AG26" s="894">
        <f t="shared" si="7"/>
        <v>1022098359</v>
      </c>
      <c r="AH26" s="892">
        <f>+AG26/X26</f>
        <v>0.38604603347173738</v>
      </c>
      <c r="AI26" s="330"/>
      <c r="AJ26" s="330"/>
      <c r="AK26" s="330"/>
      <c r="AL26" s="330"/>
      <c r="AM26" s="330"/>
      <c r="AN26" s="330"/>
      <c r="AO26" s="330"/>
      <c r="AP26" s="330"/>
      <c r="AQ26" s="330"/>
      <c r="AR26" s="330"/>
      <c r="AS26" s="298"/>
    </row>
    <row r="27" spans="1:47" s="218" customFormat="1" ht="51.75" customHeight="1">
      <c r="A27" s="891"/>
      <c r="B27" s="891"/>
      <c r="C27" s="891"/>
      <c r="D27" s="891"/>
      <c r="E27" s="891"/>
      <c r="F27" s="891"/>
      <c r="G27" s="891"/>
      <c r="H27" s="891"/>
      <c r="I27" s="891"/>
      <c r="J27" s="891"/>
      <c r="K27" s="891"/>
      <c r="L27" s="891"/>
      <c r="M27" s="891"/>
      <c r="N27" s="331">
        <v>100</v>
      </c>
      <c r="O27" s="331" t="s">
        <v>358</v>
      </c>
      <c r="P27" s="331">
        <v>100</v>
      </c>
      <c r="Q27" s="331">
        <v>100</v>
      </c>
      <c r="R27" s="331">
        <v>100</v>
      </c>
      <c r="S27" s="331">
        <v>100</v>
      </c>
      <c r="T27" s="281"/>
      <c r="U27" s="282"/>
      <c r="V27" s="894"/>
      <c r="W27" s="447"/>
      <c r="X27" s="894"/>
      <c r="Y27" s="384">
        <f>AVERAGE(Y25+Y24+Y23+Y19+Y18+Y17+Y16+Y14+Y13+Y12+Y9+Y8)</f>
        <v>0</v>
      </c>
      <c r="Z27" s="384">
        <f t="shared" ref="Z27:AB27" si="8">AVERAGE(Z25+Z24+Z23+Z19+Z18+Z17+Z16+Z14+Z13+Z12+Z9+Z8)</f>
        <v>0</v>
      </c>
      <c r="AA27" s="384">
        <f t="shared" si="8"/>
        <v>0</v>
      </c>
      <c r="AB27" s="384">
        <f t="shared" si="8"/>
        <v>0</v>
      </c>
      <c r="AC27" s="894"/>
      <c r="AD27" s="894"/>
      <c r="AE27" s="894"/>
      <c r="AF27" s="894"/>
      <c r="AG27" s="894"/>
      <c r="AH27" s="893"/>
      <c r="AI27" s="330"/>
      <c r="AJ27" s="330"/>
      <c r="AK27" s="330"/>
      <c r="AL27" s="330"/>
      <c r="AM27" s="330"/>
      <c r="AN27" s="330"/>
      <c r="AO27" s="330"/>
      <c r="AP27" s="330"/>
      <c r="AQ27" s="330"/>
      <c r="AR27" s="330"/>
      <c r="AS27" s="298"/>
    </row>
    <row r="28" spans="1:47" s="218" customFormat="1" ht="99.75" customHeight="1">
      <c r="A28" s="186"/>
      <c r="B28" s="186"/>
      <c r="C28" s="886" t="s">
        <v>314</v>
      </c>
      <c r="D28" s="886" t="s">
        <v>53</v>
      </c>
      <c r="E28" s="886" t="s">
        <v>330</v>
      </c>
      <c r="F28" s="886" t="s">
        <v>115</v>
      </c>
      <c r="G28" s="886" t="s">
        <v>117</v>
      </c>
      <c r="H28" s="886" t="s">
        <v>17</v>
      </c>
      <c r="I28" s="885">
        <v>1</v>
      </c>
      <c r="J28" s="885">
        <v>1</v>
      </c>
      <c r="K28" s="58"/>
      <c r="L28" s="186"/>
      <c r="M28" s="62" t="s">
        <v>489</v>
      </c>
      <c r="N28" s="186">
        <v>1</v>
      </c>
      <c r="O28" s="186" t="s">
        <v>17</v>
      </c>
      <c r="P28" s="186">
        <v>1</v>
      </c>
      <c r="Q28" s="186">
        <v>0</v>
      </c>
      <c r="R28" s="186">
        <v>0</v>
      </c>
      <c r="S28" s="186">
        <v>0</v>
      </c>
      <c r="T28" s="63"/>
      <c r="U28" s="59"/>
      <c r="V28" s="888">
        <v>212064944.40000001</v>
      </c>
      <c r="W28" s="895"/>
      <c r="X28" s="888">
        <f>V28</f>
        <v>212064944.40000001</v>
      </c>
      <c r="Y28" s="338"/>
      <c r="Z28" s="338"/>
      <c r="AA28" s="338"/>
      <c r="AB28" s="338"/>
      <c r="AC28" s="338">
        <v>33043118</v>
      </c>
      <c r="AD28" s="338">
        <v>28147450</v>
      </c>
      <c r="AE28" s="338"/>
      <c r="AF28" s="338"/>
      <c r="AG28" s="441">
        <f t="shared" ref="AG28:AG46" si="9">+AC28+AD28+AE28+AF28</f>
        <v>61190568</v>
      </c>
      <c r="AH28" s="892">
        <f>+(AG28+AG29)/X28</f>
        <v>0.57709272197842798</v>
      </c>
      <c r="AI28" s="338"/>
      <c r="AJ28" s="338"/>
      <c r="AK28" s="338"/>
      <c r="AL28" s="338"/>
      <c r="AM28" s="338"/>
      <c r="AN28" s="338"/>
      <c r="AO28" s="338"/>
      <c r="AP28" s="338"/>
      <c r="AQ28" s="338"/>
      <c r="AR28" s="338"/>
      <c r="AS28" s="298"/>
    </row>
    <row r="29" spans="1:47" s="218" customFormat="1" ht="108" customHeight="1">
      <c r="A29" s="886" t="s">
        <v>222</v>
      </c>
      <c r="B29" s="886" t="s">
        <v>165</v>
      </c>
      <c r="C29" s="886"/>
      <c r="D29" s="886"/>
      <c r="E29" s="886"/>
      <c r="F29" s="886"/>
      <c r="G29" s="886"/>
      <c r="H29" s="886"/>
      <c r="I29" s="885"/>
      <c r="J29" s="885"/>
      <c r="K29" s="58"/>
      <c r="L29" s="186" t="s">
        <v>120</v>
      </c>
      <c r="M29" s="62" t="s">
        <v>490</v>
      </c>
      <c r="N29" s="186">
        <v>1</v>
      </c>
      <c r="O29" s="186" t="s">
        <v>17</v>
      </c>
      <c r="P29" s="186">
        <v>1</v>
      </c>
      <c r="Q29" s="186">
        <v>0</v>
      </c>
      <c r="R29" s="186">
        <v>0</v>
      </c>
      <c r="S29" s="186">
        <v>0</v>
      </c>
      <c r="T29" s="186" t="s">
        <v>383</v>
      </c>
      <c r="U29" s="186"/>
      <c r="V29" s="888"/>
      <c r="W29" s="896"/>
      <c r="X29" s="888"/>
      <c r="Y29" s="338"/>
      <c r="Z29" s="338"/>
      <c r="AA29" s="338"/>
      <c r="AB29" s="338"/>
      <c r="AC29" s="441">
        <v>33043118</v>
      </c>
      <c r="AD29" s="441">
        <v>28147450</v>
      </c>
      <c r="AE29" s="338"/>
      <c r="AF29" s="338"/>
      <c r="AG29" s="441">
        <f t="shared" si="9"/>
        <v>61190568</v>
      </c>
      <c r="AH29" s="893"/>
      <c r="AI29" s="338"/>
      <c r="AJ29" s="338"/>
      <c r="AK29" s="338"/>
      <c r="AL29" s="338"/>
      <c r="AM29" s="338"/>
      <c r="AN29" s="338"/>
      <c r="AO29" s="338"/>
      <c r="AP29" s="338"/>
      <c r="AQ29" s="338" t="s">
        <v>24</v>
      </c>
      <c r="AR29" s="338" t="s">
        <v>24</v>
      </c>
      <c r="AS29" s="867" t="s">
        <v>339</v>
      </c>
    </row>
    <row r="30" spans="1:47" s="218" customFormat="1" ht="108" customHeight="1">
      <c r="A30" s="886"/>
      <c r="B30" s="886"/>
      <c r="C30" s="886"/>
      <c r="D30" s="886"/>
      <c r="E30" s="886"/>
      <c r="F30" s="886"/>
      <c r="G30" s="886" t="s">
        <v>119</v>
      </c>
      <c r="H30" s="886" t="s">
        <v>18</v>
      </c>
      <c r="I30" s="885" t="s">
        <v>51</v>
      </c>
      <c r="J30" s="885">
        <v>100</v>
      </c>
      <c r="K30" s="58"/>
      <c r="L30" s="186"/>
      <c r="M30" s="62" t="s">
        <v>491</v>
      </c>
      <c r="N30" s="186">
        <v>4</v>
      </c>
      <c r="O30" s="186" t="s">
        <v>17</v>
      </c>
      <c r="P30" s="186">
        <v>1</v>
      </c>
      <c r="Q30" s="186">
        <v>1</v>
      </c>
      <c r="R30" s="186">
        <v>1</v>
      </c>
      <c r="S30" s="186">
        <v>1</v>
      </c>
      <c r="T30" s="186"/>
      <c r="U30" s="186"/>
      <c r="V30" s="888">
        <f>212064944.4+525623619-10388688</f>
        <v>727299875.39999998</v>
      </c>
      <c r="W30" s="444"/>
      <c r="X30" s="888">
        <f>V30</f>
        <v>727299875.39999998</v>
      </c>
      <c r="Y30" s="338"/>
      <c r="Z30" s="338"/>
      <c r="AA30" s="338"/>
      <c r="AB30" s="338"/>
      <c r="AC30" s="441">
        <v>33043118</v>
      </c>
      <c r="AD30" s="441">
        <v>28147450</v>
      </c>
      <c r="AE30" s="338"/>
      <c r="AF30" s="338"/>
      <c r="AG30" s="441">
        <f t="shared" si="9"/>
        <v>61190568</v>
      </c>
      <c r="AH30" s="892">
        <f>+(AG30+AG31)/X30</f>
        <v>0.16826778078669805</v>
      </c>
      <c r="AI30" s="338"/>
      <c r="AJ30" s="338"/>
      <c r="AK30" s="338"/>
      <c r="AL30" s="338"/>
      <c r="AM30" s="338"/>
      <c r="AN30" s="338"/>
      <c r="AO30" s="338"/>
      <c r="AP30" s="338"/>
      <c r="AQ30" s="338"/>
      <c r="AR30" s="338"/>
      <c r="AS30" s="868"/>
    </row>
    <row r="31" spans="1:47" s="218" customFormat="1" ht="108" customHeight="1">
      <c r="A31" s="886"/>
      <c r="B31" s="886"/>
      <c r="C31" s="886"/>
      <c r="D31" s="886"/>
      <c r="E31" s="886"/>
      <c r="F31" s="886"/>
      <c r="G31" s="886"/>
      <c r="H31" s="886"/>
      <c r="I31" s="885"/>
      <c r="J31" s="885"/>
      <c r="K31" s="58"/>
      <c r="L31" s="886" t="s">
        <v>121</v>
      </c>
      <c r="M31" s="62" t="s">
        <v>492</v>
      </c>
      <c r="N31" s="186">
        <v>100</v>
      </c>
      <c r="O31" s="379" t="s">
        <v>358</v>
      </c>
      <c r="P31" s="186">
        <v>25</v>
      </c>
      <c r="Q31" s="186">
        <v>25</v>
      </c>
      <c r="R31" s="186">
        <v>25</v>
      </c>
      <c r="S31" s="186">
        <v>25</v>
      </c>
      <c r="T31" s="186" t="s">
        <v>388</v>
      </c>
      <c r="U31" s="59"/>
      <c r="V31" s="888"/>
      <c r="W31" s="444"/>
      <c r="X31" s="888"/>
      <c r="Y31" s="338"/>
      <c r="Z31" s="338"/>
      <c r="AA31" s="338"/>
      <c r="AB31" s="338"/>
      <c r="AC31" s="441">
        <v>33043118</v>
      </c>
      <c r="AD31" s="441">
        <v>28147450</v>
      </c>
      <c r="AE31" s="338"/>
      <c r="AF31" s="338"/>
      <c r="AG31" s="441">
        <f t="shared" si="9"/>
        <v>61190568</v>
      </c>
      <c r="AH31" s="893"/>
      <c r="AI31" s="338"/>
      <c r="AJ31" s="338"/>
      <c r="AK31" s="338"/>
      <c r="AL31" s="338"/>
      <c r="AM31" s="338"/>
      <c r="AN31" s="338"/>
      <c r="AO31" s="338"/>
      <c r="AP31" s="338"/>
      <c r="AQ31" s="338" t="s">
        <v>24</v>
      </c>
      <c r="AR31" s="338" t="s">
        <v>24</v>
      </c>
      <c r="AS31" s="868"/>
    </row>
    <row r="32" spans="1:47" s="218" customFormat="1" ht="108" customHeight="1">
      <c r="A32" s="886"/>
      <c r="B32" s="886"/>
      <c r="C32" s="886"/>
      <c r="D32" s="886"/>
      <c r="E32" s="886"/>
      <c r="F32" s="886"/>
      <c r="G32" s="886"/>
      <c r="H32" s="886"/>
      <c r="I32" s="885"/>
      <c r="J32" s="885"/>
      <c r="K32" s="58"/>
      <c r="L32" s="886"/>
      <c r="M32" s="62" t="s">
        <v>499</v>
      </c>
      <c r="N32" s="186">
        <v>100</v>
      </c>
      <c r="O32" s="379" t="s">
        <v>358</v>
      </c>
      <c r="P32" s="186">
        <v>25</v>
      </c>
      <c r="Q32" s="186">
        <v>25</v>
      </c>
      <c r="R32" s="186">
        <v>25</v>
      </c>
      <c r="S32" s="186">
        <v>25</v>
      </c>
      <c r="T32" s="186" t="s">
        <v>350</v>
      </c>
      <c r="U32" s="186"/>
      <c r="V32" s="60">
        <f>27783000+1271595752+480000000+960000000+840000000+7350000+25252500+31500000</f>
        <v>3643481252</v>
      </c>
      <c r="W32" s="444"/>
      <c r="X32" s="60">
        <f>+V32+W32</f>
        <v>3643481252</v>
      </c>
      <c r="Y32" s="338"/>
      <c r="Z32" s="338"/>
      <c r="AA32" s="338"/>
      <c r="AB32" s="338"/>
      <c r="AC32" s="338">
        <f>80999967+86454979+379579286+254708340+7637248</f>
        <v>809379820</v>
      </c>
      <c r="AD32" s="338">
        <v>937758158</v>
      </c>
      <c r="AE32" s="338"/>
      <c r="AF32" s="338"/>
      <c r="AG32" s="441">
        <f t="shared" si="9"/>
        <v>1747137978</v>
      </c>
      <c r="AH32" s="479">
        <f t="shared" ref="AH32:AH45" si="10">+AG32/X32</f>
        <v>0.47952434969740859</v>
      </c>
      <c r="AI32" s="338"/>
      <c r="AJ32" s="338"/>
      <c r="AK32" s="338"/>
      <c r="AL32" s="338"/>
      <c r="AM32" s="338"/>
      <c r="AN32" s="338"/>
      <c r="AO32" s="338"/>
      <c r="AP32" s="338"/>
      <c r="AQ32" s="338"/>
      <c r="AR32" s="338"/>
      <c r="AS32" s="868"/>
    </row>
    <row r="33" spans="1:46" s="218" customFormat="1" ht="108" customHeight="1">
      <c r="A33" s="886"/>
      <c r="B33" s="886"/>
      <c r="C33" s="886"/>
      <c r="D33" s="886"/>
      <c r="E33" s="886"/>
      <c r="F33" s="886"/>
      <c r="G33" s="886"/>
      <c r="H33" s="886"/>
      <c r="I33" s="885"/>
      <c r="J33" s="885"/>
      <c r="K33" s="58"/>
      <c r="L33" s="886"/>
      <c r="M33" s="62" t="s">
        <v>389</v>
      </c>
      <c r="N33" s="186">
        <v>100</v>
      </c>
      <c r="O33" s="379" t="s">
        <v>358</v>
      </c>
      <c r="P33" s="186">
        <v>25</v>
      </c>
      <c r="Q33" s="186">
        <v>25</v>
      </c>
      <c r="R33" s="186">
        <v>25</v>
      </c>
      <c r="S33" s="186">
        <v>25</v>
      </c>
      <c r="T33" s="186" t="s">
        <v>378</v>
      </c>
      <c r="U33" s="59"/>
      <c r="V33" s="60">
        <v>1000000000</v>
      </c>
      <c r="W33" s="444">
        <v>0</v>
      </c>
      <c r="X33" s="473">
        <f t="shared" ref="X33:X35" si="11">+V33+W33</f>
        <v>1000000000</v>
      </c>
      <c r="Y33" s="338"/>
      <c r="Z33" s="338"/>
      <c r="AA33" s="338"/>
      <c r="AB33" s="338"/>
      <c r="AC33" s="338">
        <v>171792429</v>
      </c>
      <c r="AD33" s="338">
        <v>288402460</v>
      </c>
      <c r="AE33" s="338"/>
      <c r="AF33" s="338"/>
      <c r="AG33" s="441">
        <f t="shared" si="9"/>
        <v>460194889</v>
      </c>
      <c r="AH33" s="479">
        <f t="shared" si="10"/>
        <v>0.460194889</v>
      </c>
      <c r="AI33" s="338"/>
      <c r="AJ33" s="338"/>
      <c r="AK33" s="338"/>
      <c r="AL33" s="338"/>
      <c r="AM33" s="338"/>
      <c r="AN33" s="338"/>
      <c r="AO33" s="338"/>
      <c r="AP33" s="338"/>
      <c r="AQ33" s="338" t="s">
        <v>24</v>
      </c>
      <c r="AR33" s="338" t="s">
        <v>24</v>
      </c>
      <c r="AS33" s="868"/>
      <c r="AT33" s="184"/>
    </row>
    <row r="34" spans="1:46" s="218" customFormat="1" ht="108" customHeight="1">
      <c r="A34" s="886"/>
      <c r="B34" s="886"/>
      <c r="C34" s="886"/>
      <c r="D34" s="886"/>
      <c r="E34" s="886"/>
      <c r="F34" s="886"/>
      <c r="G34" s="886"/>
      <c r="H34" s="886"/>
      <c r="I34" s="885"/>
      <c r="J34" s="885"/>
      <c r="K34" s="58"/>
      <c r="L34" s="886"/>
      <c r="M34" s="209" t="s">
        <v>390</v>
      </c>
      <c r="N34" s="186">
        <v>100</v>
      </c>
      <c r="O34" s="379" t="s">
        <v>358</v>
      </c>
      <c r="P34" s="186">
        <v>25</v>
      </c>
      <c r="Q34" s="186">
        <v>25</v>
      </c>
      <c r="R34" s="186">
        <v>25</v>
      </c>
      <c r="S34" s="186">
        <v>25</v>
      </c>
      <c r="T34" s="186">
        <v>1010100</v>
      </c>
      <c r="U34" s="59"/>
      <c r="V34" s="60">
        <v>2026187055</v>
      </c>
      <c r="W34" s="444">
        <v>9703337</v>
      </c>
      <c r="X34" s="473">
        <f t="shared" si="11"/>
        <v>2035890392</v>
      </c>
      <c r="Y34" s="338"/>
      <c r="Z34" s="338"/>
      <c r="AA34" s="338"/>
      <c r="AB34" s="338"/>
      <c r="AC34" s="338">
        <v>362811432</v>
      </c>
      <c r="AD34" s="474">
        <v>398889410</v>
      </c>
      <c r="AE34" s="338"/>
      <c r="AF34" s="338"/>
      <c r="AG34" s="441">
        <f t="shared" si="9"/>
        <v>761700842</v>
      </c>
      <c r="AH34" s="479">
        <f t="shared" si="10"/>
        <v>0.37413646873775314</v>
      </c>
      <c r="AI34" s="338"/>
      <c r="AJ34" s="338"/>
      <c r="AK34" s="338"/>
      <c r="AL34" s="338"/>
      <c r="AM34" s="338"/>
      <c r="AN34" s="338"/>
      <c r="AO34" s="338"/>
      <c r="AP34" s="338"/>
      <c r="AQ34" s="338" t="s">
        <v>24</v>
      </c>
      <c r="AR34" s="338" t="s">
        <v>24</v>
      </c>
      <c r="AS34" s="868"/>
      <c r="AT34" s="184"/>
    </row>
    <row r="35" spans="1:46" s="218" customFormat="1" ht="108" customHeight="1">
      <c r="A35" s="886"/>
      <c r="B35" s="886"/>
      <c r="C35" s="886"/>
      <c r="D35" s="886"/>
      <c r="E35" s="886"/>
      <c r="F35" s="886"/>
      <c r="G35" s="57" t="s">
        <v>118</v>
      </c>
      <c r="H35" s="57" t="s">
        <v>18</v>
      </c>
      <c r="I35" s="61" t="s">
        <v>51</v>
      </c>
      <c r="J35" s="61">
        <v>100</v>
      </c>
      <c r="K35" s="58"/>
      <c r="L35" s="886"/>
      <c r="M35" s="62" t="s">
        <v>493</v>
      </c>
      <c r="N35" s="186">
        <v>100</v>
      </c>
      <c r="O35" s="379" t="s">
        <v>358</v>
      </c>
      <c r="P35" s="186">
        <v>15</v>
      </c>
      <c r="Q35" s="186">
        <v>25</v>
      </c>
      <c r="R35" s="186">
        <v>25</v>
      </c>
      <c r="S35" s="186">
        <v>35</v>
      </c>
      <c r="T35" s="186" t="s">
        <v>351</v>
      </c>
      <c r="U35" s="59"/>
      <c r="V35" s="60">
        <f>3000000000+25000000+56700000-48000000-48000000-342300000-67515148.8-164049600-1101853184.19-332238404.887192</f>
        <v>977743662.12280774</v>
      </c>
      <c r="W35" s="444"/>
      <c r="X35" s="473">
        <f t="shared" si="11"/>
        <v>977743662.12280774</v>
      </c>
      <c r="Y35" s="338"/>
      <c r="Z35" s="338"/>
      <c r="AA35" s="338"/>
      <c r="AB35" s="338"/>
      <c r="AC35" s="338">
        <f>26099150+13049575+51480000</f>
        <v>90628725</v>
      </c>
      <c r="AD35" s="474">
        <f>26099150+13049575+51480000</f>
        <v>90628725</v>
      </c>
      <c r="AE35" s="338"/>
      <c r="AF35" s="338"/>
      <c r="AG35" s="441">
        <f t="shared" si="9"/>
        <v>181257450</v>
      </c>
      <c r="AH35" s="479">
        <f t="shared" si="10"/>
        <v>0.1853834057144044</v>
      </c>
      <c r="AI35" s="338"/>
      <c r="AJ35" s="338"/>
      <c r="AK35" s="338"/>
      <c r="AL35" s="338"/>
      <c r="AM35" s="338"/>
      <c r="AN35" s="338"/>
      <c r="AO35" s="338"/>
      <c r="AP35" s="338"/>
      <c r="AQ35" s="338" t="s">
        <v>24</v>
      </c>
      <c r="AR35" s="338" t="s">
        <v>24</v>
      </c>
      <c r="AS35" s="868"/>
      <c r="AT35" s="184"/>
    </row>
    <row r="36" spans="1:46" s="218" customFormat="1" ht="108" customHeight="1">
      <c r="A36" s="886"/>
      <c r="B36" s="886"/>
      <c r="C36" s="886"/>
      <c r="D36" s="886"/>
      <c r="E36" s="886"/>
      <c r="F36" s="886"/>
      <c r="G36" s="886" t="s">
        <v>116</v>
      </c>
      <c r="H36" s="886" t="s">
        <v>17</v>
      </c>
      <c r="I36" s="885">
        <v>1</v>
      </c>
      <c r="J36" s="885">
        <v>1</v>
      </c>
      <c r="K36" s="58"/>
      <c r="L36" s="886"/>
      <c r="M36" s="62" t="s">
        <v>494</v>
      </c>
      <c r="N36" s="186">
        <v>1</v>
      </c>
      <c r="O36" s="186" t="s">
        <v>19</v>
      </c>
      <c r="P36" s="186">
        <v>1</v>
      </c>
      <c r="Q36" s="186">
        <v>0</v>
      </c>
      <c r="R36" s="186">
        <v>0</v>
      </c>
      <c r="S36" s="186">
        <v>0</v>
      </c>
      <c r="T36" s="186"/>
      <c r="U36" s="59"/>
      <c r="V36" s="60"/>
      <c r="W36" s="444"/>
      <c r="X36" s="60"/>
      <c r="Y36" s="338"/>
      <c r="Z36" s="338"/>
      <c r="AA36" s="338"/>
      <c r="AB36" s="338"/>
      <c r="AC36" s="338"/>
      <c r="AD36" s="338"/>
      <c r="AE36" s="338"/>
      <c r="AF36" s="338"/>
      <c r="AG36" s="441">
        <f t="shared" si="9"/>
        <v>0</v>
      </c>
      <c r="AH36" s="479" t="e">
        <f t="shared" si="10"/>
        <v>#DIV/0!</v>
      </c>
      <c r="AI36" s="338"/>
      <c r="AJ36" s="338"/>
      <c r="AK36" s="338"/>
      <c r="AL36" s="338"/>
      <c r="AM36" s="338"/>
      <c r="AN36" s="338"/>
      <c r="AO36" s="338"/>
      <c r="AP36" s="338"/>
      <c r="AQ36" s="338"/>
      <c r="AR36" s="338"/>
      <c r="AS36" s="868"/>
      <c r="AT36" s="184"/>
    </row>
    <row r="37" spans="1:46" s="218" customFormat="1" ht="99" customHeight="1">
      <c r="A37" s="886"/>
      <c r="B37" s="886"/>
      <c r="C37" s="886"/>
      <c r="D37" s="886"/>
      <c r="E37" s="886"/>
      <c r="F37" s="886"/>
      <c r="G37" s="886"/>
      <c r="H37" s="886"/>
      <c r="I37" s="885"/>
      <c r="J37" s="885"/>
      <c r="K37" s="58"/>
      <c r="L37" s="886"/>
      <c r="M37" s="62" t="s">
        <v>495</v>
      </c>
      <c r="N37" s="186">
        <v>100</v>
      </c>
      <c r="O37" s="379" t="s">
        <v>358</v>
      </c>
      <c r="P37" s="186">
        <v>25</v>
      </c>
      <c r="Q37" s="186">
        <v>25</v>
      </c>
      <c r="R37" s="186">
        <v>25</v>
      </c>
      <c r="S37" s="186">
        <v>25</v>
      </c>
      <c r="T37" s="186" t="s">
        <v>349</v>
      </c>
      <c r="U37" s="59"/>
      <c r="V37" s="60">
        <v>733790080</v>
      </c>
      <c r="W37" s="444"/>
      <c r="X37" s="60">
        <f t="shared" ref="X37:X45" si="12">V37</f>
        <v>733790080</v>
      </c>
      <c r="Y37" s="338"/>
      <c r="Z37" s="338"/>
      <c r="AA37" s="338"/>
      <c r="AB37" s="338"/>
      <c r="AC37" s="338">
        <v>161451931</v>
      </c>
      <c r="AD37" s="338">
        <v>89406829</v>
      </c>
      <c r="AE37" s="338"/>
      <c r="AF37" s="338"/>
      <c r="AG37" s="441">
        <f t="shared" si="9"/>
        <v>250858760</v>
      </c>
      <c r="AH37" s="479">
        <f t="shared" si="10"/>
        <v>0.34186719994906445</v>
      </c>
      <c r="AI37" s="338"/>
      <c r="AJ37" s="338"/>
      <c r="AK37" s="338"/>
      <c r="AL37" s="338"/>
      <c r="AM37" s="338"/>
      <c r="AN37" s="338"/>
      <c r="AO37" s="338"/>
      <c r="AP37" s="338"/>
      <c r="AQ37" s="338" t="s">
        <v>24</v>
      </c>
      <c r="AR37" s="338" t="s">
        <v>24</v>
      </c>
      <c r="AS37" s="868"/>
    </row>
    <row r="38" spans="1:46" s="218" customFormat="1" ht="99" customHeight="1">
      <c r="A38" s="886"/>
      <c r="B38" s="886"/>
      <c r="C38" s="698" t="s">
        <v>113</v>
      </c>
      <c r="D38" s="698" t="s">
        <v>53</v>
      </c>
      <c r="E38" s="698">
        <v>84</v>
      </c>
      <c r="F38" s="698" t="s">
        <v>122</v>
      </c>
      <c r="G38" s="698" t="s">
        <v>123</v>
      </c>
      <c r="H38" s="886" t="s">
        <v>18</v>
      </c>
      <c r="I38" s="885">
        <v>84</v>
      </c>
      <c r="J38" s="885">
        <v>84</v>
      </c>
      <c r="K38" s="885"/>
      <c r="L38" s="886" t="s">
        <v>124</v>
      </c>
      <c r="M38" s="67" t="s">
        <v>484</v>
      </c>
      <c r="N38" s="186">
        <v>2</v>
      </c>
      <c r="O38" s="186" t="s">
        <v>17</v>
      </c>
      <c r="P38" s="186">
        <v>0</v>
      </c>
      <c r="Q38" s="186">
        <v>1</v>
      </c>
      <c r="R38" s="186">
        <v>0</v>
      </c>
      <c r="S38" s="186">
        <v>1</v>
      </c>
      <c r="T38" s="186"/>
      <c r="U38" s="59"/>
      <c r="V38" s="60"/>
      <c r="W38" s="444"/>
      <c r="X38" s="60"/>
      <c r="Y38" s="338"/>
      <c r="Z38" s="338"/>
      <c r="AA38" s="338"/>
      <c r="AB38" s="338"/>
      <c r="AC38" s="338"/>
      <c r="AD38" s="338"/>
      <c r="AE38" s="338"/>
      <c r="AF38" s="338"/>
      <c r="AG38" s="441">
        <f t="shared" si="9"/>
        <v>0</v>
      </c>
      <c r="AH38" s="479" t="e">
        <f t="shared" si="10"/>
        <v>#DIV/0!</v>
      </c>
      <c r="AI38" s="338"/>
      <c r="AJ38" s="338"/>
      <c r="AK38" s="338"/>
      <c r="AL38" s="338"/>
      <c r="AM38" s="338"/>
      <c r="AN38" s="338"/>
      <c r="AO38" s="338"/>
      <c r="AP38" s="338"/>
      <c r="AQ38" s="338"/>
      <c r="AR38" s="338"/>
      <c r="AS38" s="868"/>
    </row>
    <row r="39" spans="1:46" s="218" customFormat="1" ht="99" customHeight="1">
      <c r="A39" s="886"/>
      <c r="B39" s="886"/>
      <c r="C39" s="734"/>
      <c r="D39" s="734"/>
      <c r="E39" s="734"/>
      <c r="F39" s="734"/>
      <c r="G39" s="734"/>
      <c r="H39" s="886"/>
      <c r="I39" s="885"/>
      <c r="J39" s="885"/>
      <c r="K39" s="885"/>
      <c r="L39" s="886"/>
      <c r="M39" s="62" t="s">
        <v>485</v>
      </c>
      <c r="N39" s="186">
        <v>12</v>
      </c>
      <c r="O39" s="186" t="s">
        <v>17</v>
      </c>
      <c r="P39" s="186">
        <v>3</v>
      </c>
      <c r="Q39" s="186">
        <v>3</v>
      </c>
      <c r="R39" s="186">
        <v>3</v>
      </c>
      <c r="S39" s="186">
        <v>3</v>
      </c>
      <c r="T39" s="445">
        <v>4100100</v>
      </c>
      <c r="U39" s="59"/>
      <c r="V39" s="60">
        <v>8108027598</v>
      </c>
      <c r="W39" s="444">
        <f>9339523835-300000000+1059374699</f>
        <v>10098898534</v>
      </c>
      <c r="X39" s="60">
        <f>+V39+W39</f>
        <v>18206926132</v>
      </c>
      <c r="Y39" s="338"/>
      <c r="Z39" s="338"/>
      <c r="AA39" s="338"/>
      <c r="AB39" s="338"/>
      <c r="AC39" s="338">
        <v>9793078908</v>
      </c>
      <c r="AD39" s="338">
        <v>2841552484</v>
      </c>
      <c r="AE39" s="338"/>
      <c r="AF39" s="338"/>
      <c r="AG39" s="441">
        <f t="shared" si="9"/>
        <v>12634631392</v>
      </c>
      <c r="AH39" s="479">
        <f t="shared" si="10"/>
        <v>0.69394643007826096</v>
      </c>
      <c r="AI39" s="338"/>
      <c r="AJ39" s="338"/>
      <c r="AK39" s="338"/>
      <c r="AL39" s="338"/>
      <c r="AM39" s="338"/>
      <c r="AN39" s="338"/>
      <c r="AO39" s="338"/>
      <c r="AP39" s="338"/>
      <c r="AQ39" s="338"/>
      <c r="AR39" s="338"/>
      <c r="AS39" s="868"/>
    </row>
    <row r="40" spans="1:46" s="218" customFormat="1" ht="99" customHeight="1">
      <c r="A40" s="886"/>
      <c r="B40" s="886"/>
      <c r="C40" s="734"/>
      <c r="D40" s="734"/>
      <c r="E40" s="734"/>
      <c r="F40" s="734"/>
      <c r="G40" s="734"/>
      <c r="H40" s="886"/>
      <c r="I40" s="885"/>
      <c r="J40" s="885"/>
      <c r="K40" s="885"/>
      <c r="L40" s="886"/>
      <c r="M40" s="62" t="s">
        <v>486</v>
      </c>
      <c r="N40" s="186">
        <v>12</v>
      </c>
      <c r="O40" s="186" t="s">
        <v>452</v>
      </c>
      <c r="P40" s="186">
        <v>3</v>
      </c>
      <c r="Q40" s="186">
        <v>3</v>
      </c>
      <c r="R40" s="186">
        <v>3</v>
      </c>
      <c r="S40" s="186">
        <v>3</v>
      </c>
      <c r="T40" s="186"/>
      <c r="U40" s="59"/>
      <c r="V40" s="60"/>
      <c r="W40" s="444"/>
      <c r="X40" s="60"/>
      <c r="Y40" s="338"/>
      <c r="Z40" s="338"/>
      <c r="AA40" s="338"/>
      <c r="AB40" s="338"/>
      <c r="AC40" s="338"/>
      <c r="AD40" s="338"/>
      <c r="AE40" s="338"/>
      <c r="AF40" s="338"/>
      <c r="AG40" s="441">
        <f t="shared" si="9"/>
        <v>0</v>
      </c>
      <c r="AH40" s="479" t="e">
        <f t="shared" si="10"/>
        <v>#DIV/0!</v>
      </c>
      <c r="AI40" s="338"/>
      <c r="AJ40" s="338"/>
      <c r="AK40" s="338"/>
      <c r="AL40" s="338"/>
      <c r="AM40" s="338"/>
      <c r="AN40" s="338"/>
      <c r="AO40" s="338"/>
      <c r="AP40" s="338"/>
      <c r="AQ40" s="338"/>
      <c r="AR40" s="338"/>
      <c r="AS40" s="868"/>
    </row>
    <row r="41" spans="1:46" s="218" customFormat="1" ht="99" customHeight="1">
      <c r="A41" s="886"/>
      <c r="B41" s="886"/>
      <c r="C41" s="734"/>
      <c r="D41" s="734"/>
      <c r="E41" s="734"/>
      <c r="F41" s="734"/>
      <c r="G41" s="734"/>
      <c r="H41" s="886"/>
      <c r="I41" s="885"/>
      <c r="J41" s="885"/>
      <c r="K41" s="885"/>
      <c r="L41" s="886"/>
      <c r="M41" s="62" t="s">
        <v>488</v>
      </c>
      <c r="N41" s="186">
        <v>1</v>
      </c>
      <c r="O41" s="186" t="s">
        <v>452</v>
      </c>
      <c r="P41" s="186">
        <v>0</v>
      </c>
      <c r="Q41" s="186">
        <v>0</v>
      </c>
      <c r="R41" s="186">
        <v>0</v>
      </c>
      <c r="S41" s="186">
        <v>1</v>
      </c>
      <c r="T41" s="186"/>
      <c r="U41" s="59"/>
      <c r="V41" s="60"/>
      <c r="W41" s="444"/>
      <c r="X41" s="60"/>
      <c r="Y41" s="338"/>
      <c r="Z41" s="338"/>
      <c r="AA41" s="338"/>
      <c r="AB41" s="338"/>
      <c r="AC41" s="338"/>
      <c r="AD41" s="338"/>
      <c r="AE41" s="338"/>
      <c r="AF41" s="338"/>
      <c r="AG41" s="441">
        <f t="shared" si="9"/>
        <v>0</v>
      </c>
      <c r="AH41" s="479" t="e">
        <f t="shared" si="10"/>
        <v>#DIV/0!</v>
      </c>
      <c r="AI41" s="338"/>
      <c r="AJ41" s="338"/>
      <c r="AK41" s="338"/>
      <c r="AL41" s="338"/>
      <c r="AM41" s="338"/>
      <c r="AN41" s="338"/>
      <c r="AO41" s="338"/>
      <c r="AP41" s="338"/>
      <c r="AQ41" s="338"/>
      <c r="AR41" s="338"/>
      <c r="AS41" s="868"/>
    </row>
    <row r="42" spans="1:46" s="218" customFormat="1" ht="126.75" customHeight="1">
      <c r="A42" s="886"/>
      <c r="B42" s="886"/>
      <c r="C42" s="734"/>
      <c r="D42" s="734"/>
      <c r="E42" s="734"/>
      <c r="F42" s="734"/>
      <c r="G42" s="734"/>
      <c r="H42" s="886"/>
      <c r="I42" s="885"/>
      <c r="J42" s="885"/>
      <c r="K42" s="885"/>
      <c r="L42" s="886"/>
      <c r="M42" s="62" t="s">
        <v>487</v>
      </c>
      <c r="N42" s="186">
        <v>12</v>
      </c>
      <c r="O42" s="186" t="s">
        <v>452</v>
      </c>
      <c r="P42" s="186">
        <v>3</v>
      </c>
      <c r="Q42" s="186">
        <v>3</v>
      </c>
      <c r="R42" s="186">
        <v>3</v>
      </c>
      <c r="S42" s="186">
        <v>3</v>
      </c>
      <c r="T42" s="63"/>
      <c r="U42" s="59"/>
      <c r="V42" s="60"/>
      <c r="W42" s="444"/>
      <c r="X42" s="60"/>
      <c r="Y42" s="338"/>
      <c r="Z42" s="338"/>
      <c r="AA42" s="338"/>
      <c r="AB42" s="338"/>
      <c r="AC42" s="338"/>
      <c r="AD42" s="338"/>
      <c r="AE42" s="338"/>
      <c r="AF42" s="338"/>
      <c r="AG42" s="441">
        <f t="shared" si="9"/>
        <v>0</v>
      </c>
      <c r="AH42" s="479" t="e">
        <f t="shared" si="10"/>
        <v>#DIV/0!</v>
      </c>
      <c r="AI42" s="338"/>
      <c r="AJ42" s="338"/>
      <c r="AK42" s="338"/>
      <c r="AL42" s="338"/>
      <c r="AM42" s="338"/>
      <c r="AN42" s="338"/>
      <c r="AO42" s="338"/>
      <c r="AP42" s="338"/>
      <c r="AQ42" s="338" t="s">
        <v>24</v>
      </c>
      <c r="AR42" s="338" t="s">
        <v>24</v>
      </c>
      <c r="AS42" s="868"/>
      <c r="AT42" s="218" t="s">
        <v>348</v>
      </c>
    </row>
    <row r="43" spans="1:46" s="218" customFormat="1" ht="126.75" customHeight="1">
      <c r="A43" s="886"/>
      <c r="B43" s="886"/>
      <c r="C43" s="699"/>
      <c r="D43" s="699"/>
      <c r="E43" s="699"/>
      <c r="F43" s="699"/>
      <c r="G43" s="699"/>
      <c r="H43" s="443"/>
      <c r="I43" s="442"/>
      <c r="J43" s="442"/>
      <c r="K43" s="442"/>
      <c r="L43" s="443"/>
      <c r="M43" s="62" t="s">
        <v>700</v>
      </c>
      <c r="N43" s="443">
        <v>4</v>
      </c>
      <c r="O43" s="443" t="s">
        <v>452</v>
      </c>
      <c r="P43" s="443">
        <v>1</v>
      </c>
      <c r="Q43" s="443">
        <v>1</v>
      </c>
      <c r="R43" s="443">
        <v>1</v>
      </c>
      <c r="S43" s="443">
        <v>1</v>
      </c>
      <c r="T43" s="445">
        <v>4199999</v>
      </c>
      <c r="U43" s="446"/>
      <c r="V43" s="444">
        <v>3000000000</v>
      </c>
      <c r="W43" s="444">
        <v>0</v>
      </c>
      <c r="X43" s="444">
        <f>+V43+W43</f>
        <v>3000000000</v>
      </c>
      <c r="Y43" s="441"/>
      <c r="Z43" s="441"/>
      <c r="AA43" s="441"/>
      <c r="AB43" s="441"/>
      <c r="AC43" s="441">
        <v>1889855684</v>
      </c>
      <c r="AD43" s="441">
        <v>61890509</v>
      </c>
      <c r="AE43" s="441"/>
      <c r="AF43" s="441"/>
      <c r="AG43" s="441">
        <f t="shared" si="9"/>
        <v>1951746193</v>
      </c>
      <c r="AH43" s="479">
        <f t="shared" si="10"/>
        <v>0.65058206433333332</v>
      </c>
      <c r="AI43" s="441"/>
      <c r="AJ43" s="441"/>
      <c r="AK43" s="441"/>
      <c r="AL43" s="441"/>
      <c r="AM43" s="441"/>
      <c r="AN43" s="441"/>
      <c r="AO43" s="441"/>
      <c r="AP43" s="441"/>
      <c r="AQ43" s="441"/>
      <c r="AR43" s="441"/>
      <c r="AS43" s="868"/>
    </row>
    <row r="44" spans="1:46" s="218" customFormat="1" ht="84" customHeight="1">
      <c r="A44" s="886"/>
      <c r="B44" s="886"/>
      <c r="C44" s="886" t="s">
        <v>114</v>
      </c>
      <c r="D44" s="886" t="s">
        <v>53</v>
      </c>
      <c r="E44" s="886">
        <v>80</v>
      </c>
      <c r="F44" s="886" t="s">
        <v>125</v>
      </c>
      <c r="G44" s="57" t="s">
        <v>126</v>
      </c>
      <c r="H44" s="57" t="s">
        <v>18</v>
      </c>
      <c r="I44" s="61">
        <v>0</v>
      </c>
      <c r="J44" s="61">
        <v>100</v>
      </c>
      <c r="K44" s="58"/>
      <c r="L44" s="886" t="s">
        <v>128</v>
      </c>
      <c r="M44" s="210" t="s">
        <v>496</v>
      </c>
      <c r="N44" s="186">
        <v>100</v>
      </c>
      <c r="O44" s="379" t="s">
        <v>358</v>
      </c>
      <c r="P44" s="186">
        <v>25</v>
      </c>
      <c r="Q44" s="186">
        <v>25</v>
      </c>
      <c r="R44" s="186">
        <v>25</v>
      </c>
      <c r="S44" s="186">
        <v>25</v>
      </c>
      <c r="T44" s="63">
        <v>3100003</v>
      </c>
      <c r="U44" s="59"/>
      <c r="V44" s="60">
        <v>160000000</v>
      </c>
      <c r="W44" s="444"/>
      <c r="X44" s="60">
        <f t="shared" si="12"/>
        <v>160000000</v>
      </c>
      <c r="Y44" s="338"/>
      <c r="Z44" s="338"/>
      <c r="AA44" s="338"/>
      <c r="AB44" s="338"/>
      <c r="AC44" s="338">
        <v>50965145</v>
      </c>
      <c r="AD44" s="338">
        <v>35430708</v>
      </c>
      <c r="AE44" s="338"/>
      <c r="AF44" s="338"/>
      <c r="AG44" s="441">
        <f t="shared" si="9"/>
        <v>86395853</v>
      </c>
      <c r="AH44" s="479">
        <f t="shared" si="10"/>
        <v>0.53997408125000002</v>
      </c>
      <c r="AI44" s="338"/>
      <c r="AJ44" s="338"/>
      <c r="AK44" s="338"/>
      <c r="AL44" s="338"/>
      <c r="AM44" s="338"/>
      <c r="AN44" s="338"/>
      <c r="AO44" s="338"/>
      <c r="AP44" s="338"/>
      <c r="AQ44" s="338" t="s">
        <v>24</v>
      </c>
      <c r="AR44" s="338" t="s">
        <v>24</v>
      </c>
      <c r="AS44" s="868"/>
    </row>
    <row r="45" spans="1:46" s="218" customFormat="1" ht="89.25" customHeight="1">
      <c r="A45" s="886"/>
      <c r="B45" s="886"/>
      <c r="C45" s="886"/>
      <c r="D45" s="886"/>
      <c r="E45" s="886"/>
      <c r="F45" s="886"/>
      <c r="G45" s="57" t="s">
        <v>127</v>
      </c>
      <c r="H45" s="57" t="s">
        <v>18</v>
      </c>
      <c r="I45" s="61">
        <v>100</v>
      </c>
      <c r="J45" s="61">
        <v>100</v>
      </c>
      <c r="K45" s="58"/>
      <c r="L45" s="886"/>
      <c r="M45" s="210" t="s">
        <v>497</v>
      </c>
      <c r="N45" s="186">
        <v>100</v>
      </c>
      <c r="O45" s="379" t="s">
        <v>358</v>
      </c>
      <c r="P45" s="186">
        <v>25</v>
      </c>
      <c r="Q45" s="186">
        <v>25</v>
      </c>
      <c r="R45" s="186">
        <v>25</v>
      </c>
      <c r="S45" s="186">
        <v>25</v>
      </c>
      <c r="T45" s="186"/>
      <c r="U45" s="59"/>
      <c r="V45" s="60">
        <v>0</v>
      </c>
      <c r="W45" s="444"/>
      <c r="X45" s="60">
        <f t="shared" si="12"/>
        <v>0</v>
      </c>
      <c r="Y45" s="338"/>
      <c r="Z45" s="338"/>
      <c r="AA45" s="338"/>
      <c r="AB45" s="338"/>
      <c r="AC45" s="338">
        <v>0</v>
      </c>
      <c r="AD45" s="338"/>
      <c r="AE45" s="338"/>
      <c r="AF45" s="338"/>
      <c r="AG45" s="441">
        <f t="shared" si="9"/>
        <v>0</v>
      </c>
      <c r="AH45" s="479" t="e">
        <f t="shared" si="10"/>
        <v>#DIV/0!</v>
      </c>
      <c r="AI45" s="338"/>
      <c r="AJ45" s="338"/>
      <c r="AK45" s="338"/>
      <c r="AL45" s="338"/>
      <c r="AM45" s="338"/>
      <c r="AN45" s="338"/>
      <c r="AO45" s="338"/>
      <c r="AP45" s="338"/>
      <c r="AQ45" s="338" t="s">
        <v>24</v>
      </c>
      <c r="AR45" s="338" t="s">
        <v>24</v>
      </c>
      <c r="AS45" s="868"/>
    </row>
    <row r="46" spans="1:46" s="218" customFormat="1" ht="95.25" customHeight="1">
      <c r="A46" s="886"/>
      <c r="B46" s="886"/>
      <c r="C46" s="886"/>
      <c r="D46" s="886"/>
      <c r="E46" s="886"/>
      <c r="F46" s="698" t="s">
        <v>129</v>
      </c>
      <c r="G46" s="698" t="s">
        <v>130</v>
      </c>
      <c r="H46" s="57" t="s">
        <v>18</v>
      </c>
      <c r="I46" s="61" t="s">
        <v>51</v>
      </c>
      <c r="J46" s="61">
        <v>100</v>
      </c>
      <c r="K46" s="58"/>
      <c r="L46" s="61" t="s">
        <v>131</v>
      </c>
      <c r="M46" s="62" t="s">
        <v>498</v>
      </c>
      <c r="N46" s="186">
        <v>4</v>
      </c>
      <c r="O46" s="186" t="s">
        <v>452</v>
      </c>
      <c r="P46" s="186">
        <v>1</v>
      </c>
      <c r="Q46" s="186">
        <v>1</v>
      </c>
      <c r="R46" s="186">
        <v>1</v>
      </c>
      <c r="S46" s="186">
        <v>1</v>
      </c>
      <c r="T46" s="186" t="s">
        <v>23</v>
      </c>
      <c r="U46" s="59"/>
      <c r="V46" s="60">
        <f>24000000+40000000</f>
        <v>64000000</v>
      </c>
      <c r="W46" s="444">
        <f>4000000+28000000+20000000</f>
        <v>52000000</v>
      </c>
      <c r="X46" s="60">
        <f>+V46+W46</f>
        <v>116000000</v>
      </c>
      <c r="Y46" s="338"/>
      <c r="Z46" s="338"/>
      <c r="AA46" s="338"/>
      <c r="AB46" s="338"/>
      <c r="AC46" s="338">
        <f>14000000+12000000</f>
        <v>26000000</v>
      </c>
      <c r="AD46" s="338">
        <f>21000000+16000000</f>
        <v>37000000</v>
      </c>
      <c r="AE46" s="338"/>
      <c r="AF46" s="338"/>
      <c r="AG46" s="441">
        <f t="shared" si="9"/>
        <v>63000000</v>
      </c>
      <c r="AH46" s="479">
        <f>+AG46/X46</f>
        <v>0.5431034482758621</v>
      </c>
      <c r="AI46" s="338"/>
      <c r="AJ46" s="338"/>
      <c r="AK46" s="338"/>
      <c r="AL46" s="338"/>
      <c r="AM46" s="338"/>
      <c r="AN46" s="338"/>
      <c r="AO46" s="338"/>
      <c r="AP46" s="338"/>
      <c r="AQ46" s="338" t="s">
        <v>24</v>
      </c>
      <c r="AR46" s="338" t="s">
        <v>24</v>
      </c>
      <c r="AS46" s="869"/>
    </row>
    <row r="47" spans="1:46" s="218" customFormat="1" ht="95.25" customHeight="1">
      <c r="A47" s="483"/>
      <c r="B47" s="483"/>
      <c r="C47" s="483"/>
      <c r="D47" s="483"/>
      <c r="E47" s="483"/>
      <c r="F47" s="699"/>
      <c r="G47" s="699"/>
      <c r="H47" s="57"/>
      <c r="I47" s="482"/>
      <c r="J47" s="482"/>
      <c r="K47" s="58"/>
      <c r="L47" s="482"/>
      <c r="M47" s="62" t="s">
        <v>701</v>
      </c>
      <c r="N47" s="483"/>
      <c r="O47" s="483"/>
      <c r="P47" s="483"/>
      <c r="Q47" s="483"/>
      <c r="R47" s="483"/>
      <c r="S47" s="483"/>
      <c r="T47" s="483"/>
      <c r="U47" s="485"/>
      <c r="V47" s="484"/>
      <c r="W47" s="484">
        <f>10796312394+4756073241+287826328</f>
        <v>15840211963</v>
      </c>
      <c r="X47" s="484">
        <f>+V47+W47</f>
        <v>15840211963</v>
      </c>
      <c r="Y47" s="481"/>
      <c r="Z47" s="481"/>
      <c r="AA47" s="481"/>
      <c r="AB47" s="481"/>
      <c r="AC47" s="481">
        <v>5489542635</v>
      </c>
      <c r="AD47" s="481">
        <v>5489542636</v>
      </c>
      <c r="AE47" s="481"/>
      <c r="AF47" s="481"/>
      <c r="AG47" s="481"/>
      <c r="AH47" s="479"/>
      <c r="AI47" s="481"/>
      <c r="AJ47" s="481"/>
      <c r="AK47" s="481"/>
      <c r="AL47" s="481"/>
      <c r="AM47" s="481"/>
      <c r="AN47" s="481"/>
      <c r="AO47" s="481"/>
      <c r="AP47" s="481"/>
      <c r="AQ47" s="481"/>
      <c r="AR47" s="481"/>
      <c r="AS47" s="295"/>
    </row>
    <row r="48" spans="1:46" s="218" customFormat="1" ht="95.25" customHeight="1">
      <c r="A48" s="489"/>
      <c r="B48" s="489"/>
      <c r="C48" s="489"/>
      <c r="D48" s="489"/>
      <c r="E48" s="489"/>
      <c r="F48" s="488"/>
      <c r="G48" s="488"/>
      <c r="H48" s="57"/>
      <c r="I48" s="490"/>
      <c r="J48" s="490"/>
      <c r="K48" s="58"/>
      <c r="L48" s="490"/>
      <c r="M48" s="62"/>
      <c r="N48" s="489"/>
      <c r="O48" s="489"/>
      <c r="P48" s="489"/>
      <c r="Q48" s="489"/>
      <c r="R48" s="489"/>
      <c r="S48" s="489"/>
      <c r="T48" s="489"/>
      <c r="U48" s="492"/>
      <c r="V48" s="491"/>
      <c r="W48" s="491"/>
      <c r="X48" s="491"/>
      <c r="Y48" s="493"/>
      <c r="Z48" s="493"/>
      <c r="AA48" s="493"/>
      <c r="AB48" s="493"/>
      <c r="AC48" s="493"/>
      <c r="AD48" s="493"/>
      <c r="AE48" s="493"/>
      <c r="AF48" s="493"/>
      <c r="AG48" s="493"/>
      <c r="AH48" s="479"/>
      <c r="AI48" s="493"/>
      <c r="AJ48" s="493"/>
      <c r="AK48" s="493"/>
      <c r="AL48" s="493"/>
      <c r="AM48" s="493"/>
      <c r="AN48" s="493"/>
      <c r="AO48" s="493"/>
      <c r="AP48" s="493"/>
      <c r="AQ48" s="493"/>
      <c r="AR48" s="493"/>
      <c r="AS48" s="295"/>
    </row>
    <row r="49" spans="1:44" s="218" customFormat="1" ht="39" customHeight="1">
      <c r="A49" s="891" t="s">
        <v>607</v>
      </c>
      <c r="B49" s="891"/>
      <c r="C49" s="891"/>
      <c r="D49" s="891"/>
      <c r="E49" s="891"/>
      <c r="F49" s="891"/>
      <c r="G49" s="891"/>
      <c r="H49" s="891"/>
      <c r="I49" s="891"/>
      <c r="J49" s="891"/>
      <c r="K49" s="891"/>
      <c r="L49" s="891"/>
      <c r="M49" s="891"/>
      <c r="N49" s="331">
        <f>N46+N42+N41+N40+N39+N38+N36+N30+N29+N28</f>
        <v>50</v>
      </c>
      <c r="O49" s="331" t="s">
        <v>17</v>
      </c>
      <c r="P49" s="331">
        <f>P46+P42+P41+P40+P39+P38+P36+P30+P29+P28</f>
        <v>14</v>
      </c>
      <c r="Q49" s="331">
        <f>Q46+Q42+Q41+Q40+Q39+Q38+Q36+Q30+Q29+Q28</f>
        <v>12</v>
      </c>
      <c r="R49" s="331">
        <f>R46+R42+R41+R40+R39+R38+R36+R30+R29+R28</f>
        <v>11</v>
      </c>
      <c r="S49" s="331">
        <f>S46+S42+S41+S40+S39+S38+S36+S30+S29+S28</f>
        <v>13</v>
      </c>
      <c r="T49" s="281"/>
      <c r="U49" s="282"/>
      <c r="V49" s="894">
        <f>SUM(V28:V46)</f>
        <v>20652594466.922806</v>
      </c>
      <c r="W49" s="894">
        <f>SUM(W28:W47)</f>
        <v>26000813834</v>
      </c>
      <c r="X49" s="894">
        <f>SUM(X28:X47)</f>
        <v>46653408300.922806</v>
      </c>
      <c r="Y49" s="383">
        <f>Y46+Y42+Y41+Y40+Y39+Y36+Y30+Y29+Y28</f>
        <v>0</v>
      </c>
      <c r="Z49" s="383">
        <f>Z46+Z42+Z41+Z40+Z39+Z36+Z30+Z29+Z28</f>
        <v>0</v>
      </c>
      <c r="AA49" s="383">
        <f>AA46+AA42+AA41+AA40+AA39+AA36+AA30+AA29+AA28</f>
        <v>0</v>
      </c>
      <c r="AB49" s="383">
        <f>AB46+AB42+AB41+AB40+AB39+AB36+AB30+AB29+AB28</f>
        <v>0</v>
      </c>
      <c r="AC49" s="894">
        <f>SUM(AC28:AC47)</f>
        <v>18977679181</v>
      </c>
      <c r="AD49" s="894">
        <f>SUM(AD28:AD47)</f>
        <v>10383091719</v>
      </c>
      <c r="AE49" s="894">
        <f>SUM(AE28:AE46)</f>
        <v>0</v>
      </c>
      <c r="AF49" s="894">
        <f>SUM(AF28:AF46)</f>
        <v>0</v>
      </c>
      <c r="AG49" s="894">
        <f>SUM(AG28:AG46)</f>
        <v>18381685629</v>
      </c>
      <c r="AH49" s="897">
        <f>+AG49/X49</f>
        <v>0.39400520344483403</v>
      </c>
      <c r="AI49" s="330"/>
      <c r="AJ49" s="330"/>
      <c r="AK49" s="330"/>
      <c r="AL49" s="330"/>
      <c r="AM49" s="330"/>
      <c r="AN49" s="330"/>
      <c r="AO49" s="330"/>
      <c r="AP49" s="330"/>
      <c r="AQ49" s="330"/>
      <c r="AR49" s="330"/>
    </row>
    <row r="50" spans="1:44" s="218" customFormat="1" ht="19.5" customHeight="1">
      <c r="A50" s="891"/>
      <c r="B50" s="891"/>
      <c r="C50" s="891"/>
      <c r="D50" s="891"/>
      <c r="E50" s="891"/>
      <c r="F50" s="891"/>
      <c r="G50" s="891"/>
      <c r="H50" s="891"/>
      <c r="I50" s="891"/>
      <c r="J50" s="891"/>
      <c r="K50" s="891"/>
      <c r="L50" s="891"/>
      <c r="M50" s="891"/>
      <c r="N50" s="331">
        <v>100</v>
      </c>
      <c r="O50" s="331" t="s">
        <v>18</v>
      </c>
      <c r="P50" s="331">
        <f>P49+P44+P42+P41+P40+P39+P37+P31+P30+P29</f>
        <v>100</v>
      </c>
      <c r="Q50" s="331">
        <v>100</v>
      </c>
      <c r="R50" s="331">
        <v>100</v>
      </c>
      <c r="S50" s="331">
        <v>100</v>
      </c>
      <c r="T50" s="281"/>
      <c r="U50" s="282"/>
      <c r="V50" s="894"/>
      <c r="W50" s="894"/>
      <c r="X50" s="894"/>
      <c r="Y50" s="384">
        <f>AVERAGE(Y45+Y44+Y37+Y35+Y34+Y33+Y32+Y31)</f>
        <v>0</v>
      </c>
      <c r="Z50" s="384">
        <f>AVERAGE(Z45+Z44+Z37+Z35+Z34+Z33+Z32+Z31)</f>
        <v>0</v>
      </c>
      <c r="AA50" s="384">
        <f>AVERAGE(AA45+AA44+AA37+AA35+AA34+AA33+AA32+AA31)</f>
        <v>0</v>
      </c>
      <c r="AB50" s="384">
        <f>AVERAGE(AB45+AB44+AB37+AB35+AB34+AB33+AB32+AB31)</f>
        <v>0</v>
      </c>
      <c r="AC50" s="894"/>
      <c r="AD50" s="894"/>
      <c r="AE50" s="894"/>
      <c r="AF50" s="894"/>
      <c r="AG50" s="894"/>
      <c r="AH50" s="897"/>
      <c r="AI50" s="330"/>
      <c r="AJ50" s="330"/>
      <c r="AK50" s="330"/>
      <c r="AL50" s="330"/>
      <c r="AM50" s="330"/>
      <c r="AN50" s="330"/>
      <c r="AO50" s="330"/>
      <c r="AP50" s="330"/>
      <c r="AQ50" s="330"/>
      <c r="AR50" s="330"/>
    </row>
    <row r="51" spans="1:44" s="218" customFormat="1">
      <c r="A51" s="3"/>
      <c r="B51" s="3"/>
      <c r="C51" s="3"/>
      <c r="D51" s="3"/>
      <c r="E51" s="3"/>
      <c r="F51" s="3"/>
      <c r="G51" s="3"/>
      <c r="H51" s="3"/>
      <c r="M51" s="5"/>
      <c r="N51" s="3"/>
      <c r="O51" s="3"/>
      <c r="P51" s="3"/>
      <c r="Q51" s="3"/>
      <c r="R51" s="3"/>
      <c r="S51" s="3"/>
      <c r="T51" s="7">
        <v>59707696938</v>
      </c>
      <c r="U51" s="3"/>
      <c r="V51" s="8"/>
      <c r="W51" s="8"/>
      <c r="X51" s="13" t="e">
        <f>#REF!-#REF!</f>
        <v>#REF!</v>
      </c>
      <c r="Y51" s="13"/>
      <c r="Z51" s="13"/>
      <c r="AA51" s="13"/>
      <c r="AB51" s="13"/>
      <c r="AC51" s="13"/>
      <c r="AD51" s="13"/>
      <c r="AE51" s="13"/>
      <c r="AF51" s="13"/>
      <c r="AG51" s="13"/>
      <c r="AH51" s="13"/>
      <c r="AI51" s="13"/>
      <c r="AJ51" s="13"/>
      <c r="AK51" s="13"/>
      <c r="AL51" s="13"/>
      <c r="AM51" s="13"/>
      <c r="AN51" s="13"/>
      <c r="AO51" s="13"/>
      <c r="AP51" s="13"/>
      <c r="AQ51" s="3"/>
      <c r="AR51" s="3"/>
    </row>
    <row r="52" spans="1:44" s="218" customFormat="1">
      <c r="A52" s="3"/>
      <c r="B52" s="3"/>
      <c r="C52" s="3"/>
      <c r="D52" s="3"/>
      <c r="E52" s="3"/>
      <c r="J52" s="5"/>
      <c r="K52" s="3"/>
      <c r="L52" s="3"/>
      <c r="M52" s="3"/>
      <c r="N52" s="3"/>
      <c r="O52" s="3"/>
      <c r="P52" s="3"/>
      <c r="Q52" s="3"/>
      <c r="R52" s="3"/>
      <c r="S52" s="3"/>
      <c r="T52" s="7">
        <f>+T50-T51</f>
        <v>-59707696938</v>
      </c>
      <c r="U52" s="3"/>
      <c r="V52" s="8"/>
      <c r="W52" s="8"/>
      <c r="X52" s="8"/>
      <c r="Y52" s="8"/>
      <c r="Z52" s="8"/>
      <c r="AA52" s="8"/>
      <c r="AB52" s="8"/>
      <c r="AC52" s="8"/>
      <c r="AD52" s="8"/>
      <c r="AE52" s="8"/>
      <c r="AF52" s="8"/>
      <c r="AG52" s="8"/>
      <c r="AH52" s="8"/>
      <c r="AI52" s="8"/>
      <c r="AJ52" s="8"/>
      <c r="AK52" s="8"/>
      <c r="AL52" s="8"/>
      <c r="AM52" s="8"/>
      <c r="AN52" s="8"/>
      <c r="AO52" s="8"/>
      <c r="AP52" s="8"/>
      <c r="AQ52" s="3"/>
      <c r="AR52" s="3"/>
    </row>
    <row r="53" spans="1:44" s="218" customFormat="1" ht="15" customHeight="1">
      <c r="A53" s="3"/>
      <c r="B53" s="3"/>
      <c r="C53" s="3"/>
      <c r="D53" s="3"/>
      <c r="E53" s="3"/>
      <c r="F53" s="3"/>
      <c r="G53" s="3"/>
      <c r="H53" s="3"/>
      <c r="M53" s="5"/>
      <c r="N53" s="3"/>
      <c r="O53" s="3"/>
      <c r="P53" s="8"/>
      <c r="Q53" s="8"/>
      <c r="R53" s="8"/>
      <c r="S53" s="8"/>
      <c r="T53" s="8"/>
      <c r="U53" s="8"/>
      <c r="V53" s="8"/>
      <c r="W53" s="8"/>
      <c r="X53" s="8"/>
      <c r="Y53" s="8"/>
      <c r="Z53" s="8"/>
      <c r="AA53" s="8"/>
      <c r="AB53" s="8"/>
      <c r="AC53" s="8"/>
      <c r="AD53" s="8"/>
      <c r="AE53" s="3"/>
      <c r="AF53" s="3"/>
    </row>
    <row r="54" spans="1:44" s="218" customFormat="1" ht="15">
      <c r="A54" s="877" t="s">
        <v>601</v>
      </c>
      <c r="B54" s="877"/>
      <c r="C54" s="877"/>
      <c r="D54" s="877"/>
      <c r="E54" s="877"/>
      <c r="F54" s="877"/>
      <c r="G54" s="877"/>
      <c r="H54" s="877"/>
      <c r="I54" s="877"/>
      <c r="J54" s="877"/>
      <c r="K54" s="877"/>
      <c r="L54" s="877"/>
      <c r="M54" s="877"/>
      <c r="N54" s="877"/>
      <c r="O54" s="877"/>
      <c r="P54" s="8"/>
      <c r="Q54" s="8"/>
      <c r="R54" s="8"/>
      <c r="S54" s="8"/>
      <c r="T54" s="8"/>
      <c r="U54" s="8"/>
      <c r="V54" s="8"/>
      <c r="W54" s="8"/>
      <c r="X54" s="8"/>
      <c r="Y54" s="8"/>
      <c r="Z54" s="8"/>
      <c r="AA54" s="8"/>
      <c r="AB54" s="8"/>
      <c r="AC54" s="8"/>
      <c r="AD54" s="8"/>
      <c r="AE54" s="3"/>
      <c r="AF54" s="3"/>
    </row>
    <row r="55" spans="1:44" s="218" customFormat="1" ht="90">
      <c r="A55" s="318" t="s">
        <v>598</v>
      </c>
      <c r="B55" s="319" t="s">
        <v>587</v>
      </c>
      <c r="C55" s="319" t="s">
        <v>588</v>
      </c>
      <c r="D55" s="319" t="s">
        <v>589</v>
      </c>
      <c r="E55" s="319" t="s">
        <v>590</v>
      </c>
      <c r="F55" s="319" t="s">
        <v>589</v>
      </c>
      <c r="G55" s="319" t="s">
        <v>591</v>
      </c>
      <c r="H55" s="319" t="s">
        <v>589</v>
      </c>
      <c r="I55" s="319"/>
      <c r="J55" s="320"/>
      <c r="K55" s="320"/>
      <c r="L55" s="320"/>
      <c r="M55" s="319" t="s">
        <v>589</v>
      </c>
      <c r="N55" s="319" t="s">
        <v>592</v>
      </c>
      <c r="O55" s="319" t="s">
        <v>589</v>
      </c>
      <c r="P55" s="8"/>
      <c r="Q55" s="8"/>
      <c r="R55" s="8"/>
      <c r="S55" s="8"/>
      <c r="T55" s="8"/>
      <c r="U55" s="8"/>
      <c r="V55" s="8"/>
      <c r="W55" s="8"/>
      <c r="X55" s="8"/>
      <c r="Y55" s="8"/>
      <c r="Z55" s="8"/>
      <c r="AA55" s="8"/>
      <c r="AB55" s="8"/>
      <c r="AC55" s="8"/>
      <c r="AD55" s="8"/>
      <c r="AE55" s="3"/>
      <c r="AF55" s="3"/>
    </row>
    <row r="56" spans="1:44" s="218" customFormat="1">
      <c r="A56" s="303" t="s">
        <v>599</v>
      </c>
      <c r="B56" s="303">
        <f>N26</f>
        <v>324</v>
      </c>
      <c r="C56" s="311">
        <f>Y26</f>
        <v>0</v>
      </c>
      <c r="D56" s="314">
        <f>B56*C56/100</f>
        <v>0</v>
      </c>
      <c r="E56" s="311">
        <f>Z26</f>
        <v>0</v>
      </c>
      <c r="F56" s="314">
        <f>B56*E56/100</f>
        <v>0</v>
      </c>
      <c r="G56" s="311">
        <f>AA26</f>
        <v>0</v>
      </c>
      <c r="H56" s="303"/>
      <c r="I56" s="304"/>
      <c r="J56" s="304"/>
      <c r="K56" s="304"/>
      <c r="L56" s="304"/>
      <c r="M56" s="314">
        <f>B56*G56/100</f>
        <v>0</v>
      </c>
      <c r="N56" s="311">
        <f>AB26</f>
        <v>0</v>
      </c>
      <c r="O56" s="314">
        <f>B56*N56/100</f>
        <v>0</v>
      </c>
      <c r="P56" s="8"/>
      <c r="Q56" s="8"/>
      <c r="R56" s="8"/>
      <c r="S56" s="8"/>
      <c r="T56" s="8"/>
      <c r="U56" s="8"/>
      <c r="V56" s="8"/>
      <c r="W56" s="8"/>
      <c r="X56" s="8"/>
      <c r="Y56" s="8"/>
      <c r="Z56" s="8"/>
      <c r="AA56" s="8"/>
      <c r="AB56" s="8"/>
      <c r="AC56" s="8"/>
      <c r="AD56" s="8"/>
      <c r="AE56" s="3"/>
      <c r="AF56" s="3"/>
    </row>
    <row r="57" spans="1:44" s="218" customFormat="1" ht="23.25">
      <c r="A57" s="303" t="s">
        <v>18</v>
      </c>
      <c r="B57" s="314">
        <v>1</v>
      </c>
      <c r="C57" s="314">
        <f>Y27</f>
        <v>0</v>
      </c>
      <c r="D57" s="314">
        <f>B57*C57/100</f>
        <v>0</v>
      </c>
      <c r="E57" s="314">
        <f>Z27</f>
        <v>0</v>
      </c>
      <c r="F57" s="314">
        <f>B57*E57/100</f>
        <v>0</v>
      </c>
      <c r="G57" s="314">
        <f>AA27</f>
        <v>0</v>
      </c>
      <c r="H57" s="303"/>
      <c r="I57" s="304"/>
      <c r="J57" s="304"/>
      <c r="K57" s="304"/>
      <c r="L57" s="304"/>
      <c r="M57" s="314">
        <f>B57*G57/100</f>
        <v>0</v>
      </c>
      <c r="N57" s="314">
        <f>AB27</f>
        <v>0</v>
      </c>
      <c r="O57" s="314">
        <f>B57*N57/100</f>
        <v>0</v>
      </c>
      <c r="P57" s="286"/>
      <c r="Q57" s="286"/>
      <c r="R57" s="286"/>
      <c r="S57" s="286"/>
      <c r="T57" s="286"/>
      <c r="U57" s="286"/>
      <c r="V57" s="286"/>
      <c r="W57" s="286"/>
      <c r="X57" s="286"/>
      <c r="Y57" s="286"/>
      <c r="Z57" s="286"/>
      <c r="AA57" s="286"/>
      <c r="AB57" s="286"/>
      <c r="AC57" s="286"/>
      <c r="AD57" s="286"/>
      <c r="AE57" s="15" t="e">
        <f>K57-#REF!</f>
        <v>#REF!</v>
      </c>
      <c r="AF57" s="3"/>
    </row>
    <row r="58" spans="1:44" s="218" customFormat="1" ht="15" customHeight="1">
      <c r="A58" s="7"/>
      <c r="B58" s="7"/>
      <c r="C58" s="7"/>
      <c r="D58" s="7"/>
      <c r="E58" s="7"/>
      <c r="F58" s="7"/>
      <c r="G58" s="7"/>
      <c r="H58" s="7"/>
      <c r="I58" s="306"/>
      <c r="J58" s="306"/>
      <c r="K58" s="306"/>
      <c r="L58" s="306"/>
      <c r="M58" s="307"/>
      <c r="N58" s="7"/>
      <c r="O58" s="3"/>
      <c r="P58" s="8"/>
      <c r="Q58" s="8"/>
      <c r="R58" s="8"/>
      <c r="S58" s="8"/>
      <c r="T58" s="8"/>
      <c r="U58" s="8"/>
      <c r="V58" s="8"/>
      <c r="W58" s="8"/>
      <c r="X58" s="8"/>
      <c r="Y58" s="8"/>
      <c r="Z58" s="8"/>
      <c r="AA58" s="8"/>
      <c r="AB58" s="8"/>
      <c r="AC58" s="8"/>
      <c r="AD58" s="8"/>
      <c r="AE58" s="3"/>
      <c r="AF58" s="3"/>
    </row>
    <row r="59" spans="1:44" s="218" customFormat="1" ht="15">
      <c r="A59" s="878" t="s">
        <v>602</v>
      </c>
      <c r="B59" s="878"/>
      <c r="C59" s="878"/>
      <c r="D59" s="878"/>
      <c r="E59" s="878"/>
      <c r="F59" s="878"/>
      <c r="G59" s="878"/>
      <c r="H59" s="878"/>
      <c r="I59" s="878"/>
      <c r="J59" s="878"/>
      <c r="K59" s="878"/>
      <c r="L59" s="878"/>
      <c r="M59" s="878"/>
      <c r="N59" s="878"/>
      <c r="O59" s="3"/>
      <c r="P59" s="8"/>
      <c r="Q59" s="8"/>
      <c r="R59" s="8"/>
      <c r="S59" s="8"/>
      <c r="T59" s="8"/>
      <c r="U59" s="8"/>
      <c r="V59" s="8"/>
      <c r="W59" s="8"/>
      <c r="X59" s="8"/>
      <c r="Y59" s="8"/>
      <c r="Z59" s="8"/>
      <c r="AA59" s="8"/>
      <c r="AB59" s="8"/>
      <c r="AC59" s="8"/>
      <c r="AD59" s="8"/>
      <c r="AE59" s="3"/>
      <c r="AF59" s="3"/>
    </row>
    <row r="60" spans="1:44" s="218" customFormat="1" ht="45">
      <c r="A60" s="316" t="s">
        <v>593</v>
      </c>
      <c r="B60" s="316" t="s">
        <v>594</v>
      </c>
      <c r="C60" s="316" t="s">
        <v>589</v>
      </c>
      <c r="D60" s="316" t="s">
        <v>595</v>
      </c>
      <c r="E60" s="316" t="s">
        <v>589</v>
      </c>
      <c r="F60" s="316" t="s">
        <v>596</v>
      </c>
      <c r="G60" s="316" t="s">
        <v>589</v>
      </c>
      <c r="H60" s="316"/>
      <c r="I60" s="317"/>
      <c r="J60" s="317"/>
      <c r="K60" s="317"/>
      <c r="L60" s="317"/>
      <c r="M60" s="316" t="s">
        <v>597</v>
      </c>
      <c r="N60" s="316" t="s">
        <v>589</v>
      </c>
      <c r="O60" s="3"/>
      <c r="P60" s="8"/>
      <c r="Q60" s="8"/>
      <c r="R60" s="8"/>
      <c r="S60" s="8"/>
      <c r="T60" s="8"/>
      <c r="U60" s="8"/>
      <c r="V60" s="8"/>
      <c r="W60" s="8"/>
      <c r="X60" s="8"/>
      <c r="Y60" s="8"/>
      <c r="Z60" s="8"/>
      <c r="AA60" s="8"/>
      <c r="AB60" s="8"/>
      <c r="AC60" s="8"/>
      <c r="AD60" s="8"/>
      <c r="AE60" s="3"/>
      <c r="AF60" s="3"/>
    </row>
    <row r="61" spans="1:44" s="218" customFormat="1">
      <c r="A61" s="309">
        <f>X26</f>
        <v>2647607462.2712793</v>
      </c>
      <c r="B61" s="309">
        <f>AC26</f>
        <v>639113520</v>
      </c>
      <c r="C61" s="315">
        <f>A61*B61/100</f>
        <v>1.6921217247904646E+16</v>
      </c>
      <c r="D61" s="309">
        <f>AD26</f>
        <v>382984839</v>
      </c>
      <c r="E61" s="314">
        <f>A61*D61/100</f>
        <v>1.0139935176731646E+16</v>
      </c>
      <c r="F61" s="309">
        <f>AE26</f>
        <v>0</v>
      </c>
      <c r="G61" s="314">
        <f>A61*F61/100</f>
        <v>0</v>
      </c>
      <c r="H61" s="303"/>
      <c r="I61" s="304"/>
      <c r="J61" s="304"/>
      <c r="K61" s="304"/>
      <c r="L61" s="304"/>
      <c r="M61" s="325">
        <f>AF26</f>
        <v>0</v>
      </c>
      <c r="N61" s="314">
        <f>A61*M61/100</f>
        <v>0</v>
      </c>
      <c r="O61" s="3"/>
      <c r="P61" s="8"/>
      <c r="Q61" s="8"/>
      <c r="R61" s="8"/>
      <c r="S61" s="8"/>
      <c r="T61" s="8"/>
      <c r="U61" s="8"/>
      <c r="V61" s="8"/>
      <c r="W61" s="8"/>
      <c r="X61" s="8"/>
      <c r="Y61" s="8"/>
      <c r="Z61" s="8"/>
      <c r="AA61" s="8"/>
      <c r="AB61" s="8"/>
      <c r="AC61" s="8"/>
      <c r="AD61" s="8"/>
      <c r="AE61" s="3"/>
      <c r="AF61" s="3"/>
    </row>
    <row r="62" spans="1:44" s="218" customFormat="1">
      <c r="A62" s="303"/>
      <c r="B62" s="303"/>
      <c r="C62" s="303"/>
      <c r="D62" s="303"/>
      <c r="E62" s="303"/>
      <c r="F62" s="303"/>
      <c r="G62" s="303"/>
      <c r="H62" s="303"/>
      <c r="I62" s="304"/>
      <c r="J62" s="304"/>
      <c r="K62" s="304"/>
      <c r="L62" s="304"/>
      <c r="M62" s="305"/>
      <c r="N62" s="303"/>
      <c r="O62" s="3"/>
      <c r="P62" s="8"/>
      <c r="Q62" s="8"/>
      <c r="R62" s="8"/>
      <c r="S62" s="8"/>
      <c r="T62" s="8"/>
      <c r="U62" s="8"/>
      <c r="V62" s="8"/>
      <c r="W62" s="8"/>
      <c r="X62" s="8"/>
      <c r="Y62" s="8"/>
      <c r="Z62" s="8"/>
      <c r="AA62" s="8"/>
      <c r="AB62" s="8"/>
      <c r="AC62" s="8"/>
      <c r="AD62" s="8"/>
      <c r="AE62" s="3"/>
      <c r="AF62" s="3"/>
    </row>
    <row r="63" spans="1:44" s="218" customFormat="1" ht="15" customHeight="1">
      <c r="A63" s="3"/>
      <c r="B63" s="3"/>
      <c r="C63" s="3"/>
      <c r="D63" s="3"/>
      <c r="E63" s="3"/>
      <c r="F63" s="3"/>
      <c r="G63" s="3"/>
      <c r="H63" s="3"/>
      <c r="M63" s="5"/>
      <c r="N63" s="3"/>
      <c r="O63" s="3"/>
      <c r="P63" s="8"/>
      <c r="Q63" s="8"/>
      <c r="R63" s="8"/>
      <c r="S63" s="8"/>
      <c r="T63" s="8"/>
      <c r="U63" s="8"/>
      <c r="V63" s="8"/>
      <c r="W63" s="8"/>
      <c r="X63" s="8"/>
      <c r="Y63" s="8"/>
      <c r="Z63" s="8"/>
      <c r="AA63" s="8"/>
      <c r="AB63" s="8"/>
      <c r="AC63" s="8"/>
      <c r="AD63" s="8"/>
      <c r="AE63" s="3"/>
      <c r="AF63" s="3"/>
    </row>
    <row r="64" spans="1:44" s="218" customFormat="1" ht="15">
      <c r="A64" s="877" t="s">
        <v>603</v>
      </c>
      <c r="B64" s="877"/>
      <c r="C64" s="877"/>
      <c r="D64" s="877"/>
      <c r="E64" s="877"/>
      <c r="F64" s="877"/>
      <c r="G64" s="877"/>
      <c r="H64" s="877"/>
      <c r="I64" s="877"/>
      <c r="J64" s="877"/>
      <c r="K64" s="877"/>
      <c r="L64" s="877"/>
      <c r="M64" s="877"/>
      <c r="N64" s="877"/>
      <c r="O64" s="877"/>
      <c r="P64" s="8"/>
      <c r="Q64" s="8"/>
      <c r="R64" s="8"/>
      <c r="S64" s="8"/>
      <c r="T64" s="8"/>
      <c r="U64" s="8"/>
      <c r="V64" s="8"/>
      <c r="W64" s="8"/>
      <c r="X64" s="8"/>
      <c r="Y64" s="8"/>
      <c r="Z64" s="8"/>
      <c r="AA64" s="8"/>
      <c r="AB64" s="8"/>
      <c r="AC64" s="8"/>
      <c r="AD64" s="8"/>
      <c r="AE64" s="3"/>
      <c r="AF64" s="3"/>
    </row>
    <row r="65" spans="1:44" s="218" customFormat="1" ht="90">
      <c r="A65" s="318" t="s">
        <v>598</v>
      </c>
      <c r="B65" s="319" t="s">
        <v>587</v>
      </c>
      <c r="C65" s="319" t="s">
        <v>588</v>
      </c>
      <c r="D65" s="319" t="s">
        <v>589</v>
      </c>
      <c r="E65" s="319" t="s">
        <v>590</v>
      </c>
      <c r="F65" s="319" t="s">
        <v>589</v>
      </c>
      <c r="G65" s="319" t="s">
        <v>591</v>
      </c>
      <c r="H65" s="319" t="s">
        <v>589</v>
      </c>
      <c r="I65" s="319"/>
      <c r="J65" s="320"/>
      <c r="K65" s="320"/>
      <c r="L65" s="320"/>
      <c r="M65" s="319" t="s">
        <v>589</v>
      </c>
      <c r="N65" s="319" t="s">
        <v>592</v>
      </c>
      <c r="O65" s="319" t="s">
        <v>589</v>
      </c>
      <c r="P65" s="8"/>
      <c r="Q65" s="8"/>
      <c r="R65" s="8"/>
      <c r="S65" s="8"/>
      <c r="T65" s="8"/>
      <c r="U65" s="8"/>
      <c r="V65" s="8"/>
      <c r="W65" s="8"/>
      <c r="X65" s="8"/>
      <c r="Y65" s="8"/>
      <c r="Z65" s="8"/>
      <c r="AA65" s="8"/>
      <c r="AB65" s="8"/>
      <c r="AC65" s="8"/>
      <c r="AD65" s="8"/>
      <c r="AE65" s="3"/>
      <c r="AF65" s="3"/>
    </row>
    <row r="66" spans="1:44" s="218" customFormat="1">
      <c r="A66" s="303" t="s">
        <v>599</v>
      </c>
      <c r="B66" s="303">
        <f>N49</f>
        <v>50</v>
      </c>
      <c r="C66" s="311">
        <f>Y49</f>
        <v>0</v>
      </c>
      <c r="D66" s="314">
        <f>B66*C66/100</f>
        <v>0</v>
      </c>
      <c r="E66" s="311">
        <f>Z49</f>
        <v>0</v>
      </c>
      <c r="F66" s="314">
        <f>B66*E66/100</f>
        <v>0</v>
      </c>
      <c r="G66" s="311">
        <f>AA49</f>
        <v>0</v>
      </c>
      <c r="H66" s="303"/>
      <c r="I66" s="304"/>
      <c r="J66" s="304"/>
      <c r="K66" s="304"/>
      <c r="L66" s="304"/>
      <c r="M66" s="359">
        <f>B66*G66/100</f>
        <v>0</v>
      </c>
      <c r="N66" s="311">
        <f>AB49</f>
        <v>0</v>
      </c>
      <c r="O66" s="314">
        <f>B66*N66/100</f>
        <v>0</v>
      </c>
      <c r="P66" s="8"/>
      <c r="Q66" s="8"/>
      <c r="R66" s="8"/>
      <c r="S66" s="8"/>
      <c r="T66" s="8"/>
      <c r="U66" s="8"/>
      <c r="V66" s="8"/>
      <c r="W66" s="8"/>
      <c r="X66" s="8"/>
      <c r="Y66" s="8"/>
      <c r="Z66" s="8"/>
      <c r="AA66" s="8"/>
      <c r="AB66" s="8"/>
      <c r="AC66" s="8"/>
      <c r="AD66" s="8"/>
      <c r="AE66" s="3"/>
      <c r="AF66" s="3"/>
    </row>
    <row r="67" spans="1:44" s="218" customFormat="1">
      <c r="A67" s="303" t="s">
        <v>18</v>
      </c>
      <c r="B67" s="314">
        <v>1</v>
      </c>
      <c r="C67" s="312">
        <f>Y50</f>
        <v>0</v>
      </c>
      <c r="D67" s="312">
        <v>0</v>
      </c>
      <c r="E67" s="314">
        <f>Z50</f>
        <v>0</v>
      </c>
      <c r="F67" s="314">
        <f>B67*E67/100</f>
        <v>0</v>
      </c>
      <c r="G67" s="314">
        <f>AA50</f>
        <v>0</v>
      </c>
      <c r="H67" s="303"/>
      <c r="I67" s="304"/>
      <c r="J67" s="304"/>
      <c r="K67" s="304"/>
      <c r="L67" s="304"/>
      <c r="M67" s="359">
        <f>B67*G67/100</f>
        <v>0</v>
      </c>
      <c r="N67" s="314">
        <f>AB50</f>
        <v>0</v>
      </c>
      <c r="O67" s="314">
        <f>B67*N67/100</f>
        <v>0</v>
      </c>
      <c r="P67" s="8"/>
      <c r="Q67" s="8"/>
      <c r="R67" s="8"/>
      <c r="S67" s="8"/>
      <c r="T67" s="8"/>
      <c r="U67" s="8"/>
      <c r="V67" s="8"/>
      <c r="W67" s="8"/>
      <c r="X67" s="8"/>
      <c r="Y67" s="8"/>
      <c r="Z67" s="8"/>
      <c r="AA67" s="8"/>
      <c r="AB67" s="8"/>
      <c r="AC67" s="8"/>
      <c r="AD67" s="8"/>
      <c r="AE67" s="3"/>
      <c r="AF67" s="3"/>
    </row>
    <row r="68" spans="1:44" s="218" customFormat="1" ht="15" customHeight="1">
      <c r="A68" s="7"/>
      <c r="B68" s="7"/>
      <c r="C68" s="7"/>
      <c r="D68" s="7"/>
      <c r="E68" s="7"/>
      <c r="F68" s="7"/>
      <c r="G68" s="7"/>
      <c r="H68" s="7"/>
      <c r="I68" s="306"/>
      <c r="J68" s="306"/>
      <c r="K68" s="306"/>
      <c r="L68" s="306"/>
      <c r="M68" s="307"/>
      <c r="N68" s="7"/>
      <c r="O68" s="3"/>
      <c r="P68" s="8"/>
      <c r="Q68" s="8"/>
      <c r="R68" s="8"/>
      <c r="S68" s="8"/>
      <c r="T68" s="8"/>
      <c r="U68" s="8"/>
      <c r="V68" s="8"/>
      <c r="W68" s="8"/>
      <c r="X68" s="8"/>
      <c r="Y68" s="8"/>
      <c r="Z68" s="8"/>
      <c r="AA68" s="8"/>
      <c r="AB68" s="8"/>
      <c r="AC68" s="8"/>
      <c r="AD68" s="8"/>
      <c r="AE68" s="3"/>
      <c r="AF68" s="3"/>
    </row>
    <row r="69" spans="1:44" s="218" customFormat="1" ht="15">
      <c r="A69" s="878" t="s">
        <v>604</v>
      </c>
      <c r="B69" s="878"/>
      <c r="C69" s="878"/>
      <c r="D69" s="878"/>
      <c r="E69" s="878"/>
      <c r="F69" s="878"/>
      <c r="G69" s="878"/>
      <c r="H69" s="878"/>
      <c r="I69" s="878"/>
      <c r="J69" s="878"/>
      <c r="K69" s="878"/>
      <c r="L69" s="878"/>
      <c r="M69" s="878"/>
      <c r="N69" s="878"/>
      <c r="O69" s="3"/>
      <c r="P69" s="8"/>
      <c r="Q69" s="8"/>
      <c r="R69" s="8"/>
      <c r="S69" s="8"/>
      <c r="T69" s="8"/>
      <c r="U69" s="8"/>
      <c r="V69" s="8"/>
      <c r="W69" s="8"/>
      <c r="X69" s="8"/>
      <c r="Y69" s="8"/>
      <c r="Z69" s="8"/>
      <c r="AA69" s="8"/>
      <c r="AB69" s="8"/>
      <c r="AC69" s="8"/>
      <c r="AD69" s="8"/>
      <c r="AE69" s="3"/>
      <c r="AF69" s="3"/>
    </row>
    <row r="70" spans="1:44" s="218" customFormat="1" ht="45">
      <c r="A70" s="316" t="s">
        <v>593</v>
      </c>
      <c r="B70" s="316" t="s">
        <v>594</v>
      </c>
      <c r="C70" s="316" t="s">
        <v>589</v>
      </c>
      <c r="D70" s="316" t="s">
        <v>595</v>
      </c>
      <c r="E70" s="316" t="s">
        <v>589</v>
      </c>
      <c r="F70" s="316" t="s">
        <v>596</v>
      </c>
      <c r="G70" s="316" t="s">
        <v>589</v>
      </c>
      <c r="H70" s="316"/>
      <c r="I70" s="317"/>
      <c r="J70" s="317"/>
      <c r="K70" s="317"/>
      <c r="L70" s="317"/>
      <c r="M70" s="316" t="s">
        <v>597</v>
      </c>
      <c r="N70" s="316" t="s">
        <v>589</v>
      </c>
      <c r="O70" s="3"/>
      <c r="P70" s="8"/>
      <c r="Q70" s="8"/>
      <c r="R70" s="8"/>
      <c r="S70" s="8"/>
      <c r="T70" s="8"/>
      <c r="U70" s="8"/>
      <c r="V70" s="8"/>
      <c r="W70" s="8"/>
      <c r="X70" s="8"/>
      <c r="Y70" s="8"/>
      <c r="Z70" s="8"/>
      <c r="AA70" s="8"/>
      <c r="AB70" s="8"/>
      <c r="AC70" s="8"/>
      <c r="AD70" s="8"/>
      <c r="AE70" s="3"/>
      <c r="AF70" s="3"/>
    </row>
    <row r="71" spans="1:44" s="218" customFormat="1" ht="15">
      <c r="A71" s="321">
        <f>X49</f>
        <v>46653408300.922806</v>
      </c>
      <c r="B71" s="321">
        <f>AC49</f>
        <v>18977679181</v>
      </c>
      <c r="C71" s="428">
        <f>A71*B71/100</f>
        <v>8.8537341543511532E+18</v>
      </c>
      <c r="D71" s="321">
        <f>AD49</f>
        <v>10383091719</v>
      </c>
      <c r="E71" s="364">
        <f>A71*D71/100</f>
        <v>4.8440661739243745E+18</v>
      </c>
      <c r="F71" s="321">
        <f>AE49</f>
        <v>0</v>
      </c>
      <c r="G71" s="364">
        <f>A71*F71/100</f>
        <v>0</v>
      </c>
      <c r="H71" s="308"/>
      <c r="I71" s="322"/>
      <c r="J71" s="322"/>
      <c r="K71" s="322"/>
      <c r="L71" s="322"/>
      <c r="M71" s="326">
        <f>AF49</f>
        <v>0</v>
      </c>
      <c r="N71" s="364">
        <f>A71*M71/100</f>
        <v>0</v>
      </c>
      <c r="O71" s="3"/>
      <c r="P71" s="8"/>
      <c r="Q71" s="8"/>
      <c r="R71" s="8"/>
      <c r="S71" s="8"/>
      <c r="T71" s="8"/>
      <c r="U71" s="8"/>
      <c r="V71" s="8"/>
      <c r="W71" s="8"/>
      <c r="X71" s="8"/>
      <c r="Y71" s="8"/>
      <c r="Z71" s="8"/>
      <c r="AA71" s="8"/>
      <c r="AB71" s="8"/>
      <c r="AC71" s="8"/>
      <c r="AD71" s="8"/>
      <c r="AE71" s="3"/>
      <c r="AF71" s="3"/>
    </row>
    <row r="72" spans="1:44" s="218" customFormat="1">
      <c r="A72" s="303"/>
      <c r="B72" s="303"/>
      <c r="C72" s="303"/>
      <c r="D72" s="303"/>
      <c r="E72" s="303"/>
      <c r="F72" s="303"/>
      <c r="G72" s="303"/>
      <c r="H72" s="303"/>
      <c r="I72" s="304"/>
      <c r="J72" s="304"/>
      <c r="K72" s="304"/>
      <c r="L72" s="304"/>
      <c r="M72" s="305"/>
      <c r="N72" s="303"/>
      <c r="O72" s="3"/>
      <c r="P72" s="8"/>
      <c r="Q72" s="8"/>
      <c r="R72" s="8"/>
      <c r="S72" s="8"/>
      <c r="T72" s="8"/>
      <c r="U72" s="8"/>
      <c r="V72" s="8"/>
      <c r="W72" s="8"/>
      <c r="X72" s="8"/>
      <c r="Y72" s="8"/>
      <c r="Z72" s="8"/>
      <c r="AA72" s="8"/>
      <c r="AB72" s="8"/>
      <c r="AC72" s="8"/>
      <c r="AD72" s="8"/>
      <c r="AE72" s="3"/>
      <c r="AF72" s="3"/>
    </row>
    <row r="73" spans="1:44" s="218" customFormat="1" ht="15" customHeight="1">
      <c r="A73" s="3"/>
      <c r="B73" s="3"/>
      <c r="C73" s="3"/>
      <c r="D73" s="3"/>
      <c r="E73" s="3"/>
      <c r="F73" s="3"/>
      <c r="G73" s="3"/>
      <c r="H73" s="3"/>
      <c r="M73" s="5"/>
      <c r="N73" s="3"/>
      <c r="O73" s="3"/>
      <c r="P73" s="8"/>
      <c r="Q73" s="8"/>
      <c r="R73" s="8"/>
      <c r="S73" s="8"/>
      <c r="T73" s="8"/>
      <c r="U73" s="8"/>
      <c r="V73" s="8"/>
      <c r="W73" s="8"/>
      <c r="X73" s="8"/>
      <c r="Y73" s="8"/>
      <c r="Z73" s="8"/>
      <c r="AA73" s="8"/>
      <c r="AB73" s="8"/>
      <c r="AC73" s="8"/>
      <c r="AD73" s="8"/>
      <c r="AE73" s="3"/>
      <c r="AF73" s="3"/>
    </row>
    <row r="74" spans="1:44" ht="15" customHeight="1">
      <c r="P74" s="8"/>
      <c r="Q74" s="8"/>
      <c r="R74" s="8"/>
      <c r="S74" s="8"/>
      <c r="T74" s="8"/>
      <c r="U74" s="8"/>
      <c r="AE74" s="3"/>
      <c r="AF74" s="3"/>
      <c r="AG74" s="2"/>
      <c r="AH74" s="2"/>
      <c r="AI74" s="2"/>
      <c r="AJ74" s="2"/>
      <c r="AK74" s="2"/>
      <c r="AL74" s="2"/>
      <c r="AM74" s="2"/>
      <c r="AN74" s="2"/>
      <c r="AO74" s="2"/>
      <c r="AP74" s="2"/>
      <c r="AQ74" s="2"/>
      <c r="AR74" s="2"/>
    </row>
    <row r="75" spans="1:44" ht="15">
      <c r="A75" s="877" t="s">
        <v>600</v>
      </c>
      <c r="B75" s="877"/>
      <c r="C75" s="877"/>
      <c r="D75" s="877"/>
      <c r="E75" s="877"/>
      <c r="F75" s="877"/>
      <c r="G75" s="877"/>
      <c r="H75" s="877"/>
      <c r="I75" s="877"/>
      <c r="J75" s="877"/>
      <c r="K75" s="877"/>
      <c r="L75" s="877"/>
      <c r="M75" s="877"/>
      <c r="N75" s="877"/>
      <c r="O75" s="877"/>
      <c r="P75" s="8"/>
      <c r="Q75" s="8"/>
      <c r="R75" s="8"/>
      <c r="S75" s="8"/>
      <c r="T75" s="8"/>
      <c r="U75" s="8"/>
      <c r="AE75" s="3"/>
      <c r="AF75" s="3"/>
      <c r="AG75" s="2"/>
      <c r="AH75" s="2"/>
      <c r="AI75" s="2"/>
      <c r="AJ75" s="2"/>
      <c r="AK75" s="2"/>
      <c r="AL75" s="2"/>
      <c r="AM75" s="2"/>
      <c r="AN75" s="2"/>
      <c r="AO75" s="2"/>
      <c r="AP75" s="2"/>
      <c r="AQ75" s="2"/>
      <c r="AR75" s="2"/>
    </row>
    <row r="76" spans="1:44" ht="90">
      <c r="A76" s="318" t="s">
        <v>598</v>
      </c>
      <c r="B76" s="319" t="s">
        <v>587</v>
      </c>
      <c r="C76" s="319" t="s">
        <v>588</v>
      </c>
      <c r="D76" s="319" t="s">
        <v>589</v>
      </c>
      <c r="E76" s="319" t="s">
        <v>590</v>
      </c>
      <c r="F76" s="319" t="s">
        <v>589</v>
      </c>
      <c r="G76" s="319" t="s">
        <v>591</v>
      </c>
      <c r="H76" s="319" t="s">
        <v>589</v>
      </c>
      <c r="I76" s="319"/>
      <c r="J76" s="320"/>
      <c r="K76" s="320"/>
      <c r="L76" s="320"/>
      <c r="M76" s="319" t="s">
        <v>589</v>
      </c>
      <c r="N76" s="319" t="s">
        <v>592</v>
      </c>
      <c r="O76" s="319" t="s">
        <v>589</v>
      </c>
      <c r="P76" s="8"/>
      <c r="Q76" s="8"/>
      <c r="R76" s="8"/>
      <c r="S76" s="8"/>
      <c r="T76" s="8"/>
      <c r="U76" s="8"/>
      <c r="AE76" s="3"/>
      <c r="AF76" s="3"/>
      <c r="AG76" s="2"/>
      <c r="AH76" s="2"/>
      <c r="AI76" s="2"/>
      <c r="AJ76" s="2"/>
      <c r="AK76" s="2"/>
      <c r="AL76" s="2"/>
      <c r="AM76" s="2"/>
      <c r="AN76" s="2"/>
      <c r="AO76" s="2"/>
      <c r="AP76" s="2"/>
      <c r="AQ76" s="2"/>
      <c r="AR76" s="2"/>
    </row>
    <row r="77" spans="1:44">
      <c r="A77" s="303" t="s">
        <v>599</v>
      </c>
      <c r="B77" s="303">
        <f>B66+B56</f>
        <v>374</v>
      </c>
      <c r="C77" s="311">
        <f>C66+C56</f>
        <v>0</v>
      </c>
      <c r="D77" s="314">
        <f>B77*C77</f>
        <v>0</v>
      </c>
      <c r="E77" s="303">
        <f>E66+E56</f>
        <v>0</v>
      </c>
      <c r="F77" s="314">
        <f>B77*E77/100</f>
        <v>0</v>
      </c>
      <c r="G77" s="303">
        <f>G66+G56</f>
        <v>0</v>
      </c>
      <c r="H77" s="303"/>
      <c r="I77" s="304"/>
      <c r="J77" s="304"/>
      <c r="K77" s="304"/>
      <c r="L77" s="304"/>
      <c r="M77" s="314">
        <f>B77*G77/100</f>
        <v>0</v>
      </c>
      <c r="N77" s="303">
        <f>N66+N56</f>
        <v>0</v>
      </c>
      <c r="O77" s="314">
        <f>B77*N77/100</f>
        <v>0</v>
      </c>
      <c r="P77" s="8"/>
      <c r="Q77" s="8"/>
      <c r="R77" s="8"/>
      <c r="S77" s="8"/>
      <c r="T77" s="8"/>
      <c r="U77" s="8"/>
      <c r="AE77" s="3"/>
      <c r="AF77" s="3"/>
      <c r="AG77" s="2"/>
      <c r="AH77" s="2"/>
      <c r="AI77" s="2"/>
      <c r="AJ77" s="2"/>
      <c r="AK77" s="2"/>
      <c r="AL77" s="2"/>
      <c r="AM77" s="2"/>
      <c r="AN77" s="2"/>
      <c r="AO77" s="2"/>
      <c r="AP77" s="2"/>
      <c r="AQ77" s="2"/>
      <c r="AR77" s="2"/>
    </row>
    <row r="78" spans="1:44">
      <c r="A78" s="303" t="s">
        <v>18</v>
      </c>
      <c r="B78" s="314">
        <v>1</v>
      </c>
      <c r="C78" s="314">
        <f>C67+C57</f>
        <v>0</v>
      </c>
      <c r="D78" s="314">
        <f>B78*C78</f>
        <v>0</v>
      </c>
      <c r="E78" s="314">
        <f>E67+E57</f>
        <v>0</v>
      </c>
      <c r="F78" s="314">
        <f>B78*E78/100</f>
        <v>0</v>
      </c>
      <c r="G78" s="314">
        <f>G67+G57</f>
        <v>0</v>
      </c>
      <c r="H78" s="303"/>
      <c r="I78" s="304"/>
      <c r="J78" s="304"/>
      <c r="K78" s="304"/>
      <c r="L78" s="304"/>
      <c r="M78" s="314">
        <f>B78*G78/100</f>
        <v>0</v>
      </c>
      <c r="N78" s="314">
        <f>N67+N57</f>
        <v>0</v>
      </c>
      <c r="O78" s="314">
        <f>B78*N78/100</f>
        <v>0</v>
      </c>
      <c r="P78" s="8"/>
      <c r="Q78" s="8"/>
      <c r="R78" s="8"/>
      <c r="S78" s="8"/>
      <c r="T78" s="8"/>
      <c r="U78" s="8"/>
      <c r="AE78" s="3"/>
      <c r="AF78" s="3"/>
      <c r="AG78" s="2"/>
      <c r="AH78" s="2"/>
      <c r="AI78" s="2"/>
      <c r="AJ78" s="2"/>
      <c r="AK78" s="2"/>
      <c r="AL78" s="2"/>
      <c r="AM78" s="2"/>
      <c r="AN78" s="2"/>
      <c r="AO78" s="2"/>
      <c r="AP78" s="2"/>
      <c r="AQ78" s="2"/>
      <c r="AR78" s="2"/>
    </row>
    <row r="79" spans="1:44" ht="15" customHeight="1">
      <c r="A79" s="7"/>
      <c r="B79" s="7"/>
      <c r="C79" s="7"/>
      <c r="D79" s="7"/>
      <c r="E79" s="7"/>
      <c r="F79" s="7"/>
      <c r="G79" s="7"/>
      <c r="H79" s="7"/>
      <c r="I79" s="306"/>
      <c r="J79" s="306"/>
      <c r="K79" s="306"/>
      <c r="L79" s="306"/>
      <c r="M79" s="307"/>
      <c r="N79" s="7"/>
      <c r="P79" s="8"/>
      <c r="Q79" s="8"/>
      <c r="R79" s="8"/>
      <c r="S79" s="8"/>
      <c r="T79" s="8"/>
      <c r="U79" s="8"/>
      <c r="AE79" s="3"/>
      <c r="AF79" s="3"/>
      <c r="AG79" s="2"/>
      <c r="AH79" s="2"/>
      <c r="AI79" s="2"/>
      <c r="AJ79" s="2"/>
      <c r="AK79" s="2"/>
      <c r="AL79" s="2"/>
      <c r="AM79" s="2"/>
      <c r="AN79" s="2"/>
      <c r="AO79" s="2"/>
      <c r="AP79" s="2"/>
      <c r="AQ79" s="2"/>
      <c r="AR79" s="2"/>
    </row>
    <row r="80" spans="1:44" ht="15">
      <c r="A80" s="878" t="s">
        <v>606</v>
      </c>
      <c r="B80" s="878"/>
      <c r="C80" s="878"/>
      <c r="D80" s="878"/>
      <c r="E80" s="878"/>
      <c r="F80" s="878"/>
      <c r="G80" s="878"/>
      <c r="H80" s="878"/>
      <c r="I80" s="878"/>
      <c r="J80" s="878"/>
      <c r="K80" s="878"/>
      <c r="L80" s="878"/>
      <c r="M80" s="878"/>
      <c r="N80" s="878"/>
      <c r="P80" s="8"/>
      <c r="Q80" s="8"/>
      <c r="R80" s="8"/>
      <c r="S80" s="8"/>
      <c r="T80" s="8"/>
      <c r="U80" s="8"/>
      <c r="AE80" s="3"/>
      <c r="AF80" s="3"/>
      <c r="AG80" s="2"/>
      <c r="AH80" s="2"/>
      <c r="AI80" s="2"/>
      <c r="AJ80" s="2"/>
      <c r="AK80" s="2"/>
      <c r="AL80" s="2"/>
      <c r="AM80" s="2"/>
      <c r="AN80" s="2"/>
      <c r="AO80" s="2"/>
      <c r="AP80" s="2"/>
      <c r="AQ80" s="2"/>
      <c r="AR80" s="2"/>
    </row>
    <row r="81" spans="1:44" ht="45">
      <c r="A81" s="316" t="s">
        <v>593</v>
      </c>
      <c r="B81" s="316" t="s">
        <v>594</v>
      </c>
      <c r="C81" s="316" t="s">
        <v>589</v>
      </c>
      <c r="D81" s="316" t="s">
        <v>595</v>
      </c>
      <c r="E81" s="316" t="s">
        <v>589</v>
      </c>
      <c r="F81" s="316" t="s">
        <v>596</v>
      </c>
      <c r="G81" s="316" t="s">
        <v>589</v>
      </c>
      <c r="H81" s="316"/>
      <c r="I81" s="317"/>
      <c r="J81" s="317"/>
      <c r="K81" s="317"/>
      <c r="L81" s="317"/>
      <c r="M81" s="316" t="s">
        <v>597</v>
      </c>
      <c r="N81" s="316" t="s">
        <v>589</v>
      </c>
      <c r="P81" s="8"/>
      <c r="Q81" s="8"/>
      <c r="R81" s="8"/>
      <c r="S81" s="8"/>
      <c r="T81" s="8"/>
      <c r="U81" s="8"/>
      <c r="AE81" s="3"/>
      <c r="AF81" s="3"/>
      <c r="AG81" s="2"/>
      <c r="AH81" s="2"/>
      <c r="AI81" s="2"/>
      <c r="AJ81" s="2"/>
      <c r="AK81" s="2"/>
      <c r="AL81" s="2"/>
      <c r="AM81" s="2"/>
      <c r="AN81" s="2"/>
      <c r="AO81" s="2"/>
      <c r="AP81" s="2"/>
      <c r="AQ81" s="2"/>
      <c r="AR81" s="2"/>
    </row>
    <row r="82" spans="1:44">
      <c r="A82" s="309">
        <f>A71+A61</f>
        <v>49301015763.194084</v>
      </c>
      <c r="B82" s="309">
        <f>B71+B61</f>
        <v>19616792701</v>
      </c>
      <c r="C82" s="312">
        <f>A82*B82/100</f>
        <v>9.6712780617531167E+18</v>
      </c>
      <c r="D82" s="309">
        <f>D71+D61</f>
        <v>10766076558</v>
      </c>
      <c r="E82" s="314">
        <f>A82*D82/100</f>
        <v>5.3077851009371228E+18</v>
      </c>
      <c r="F82" s="309">
        <f>F71+F61</f>
        <v>0</v>
      </c>
      <c r="G82" s="314">
        <f>A82*F82/100</f>
        <v>0</v>
      </c>
      <c r="H82" s="303"/>
      <c r="I82" s="304"/>
      <c r="J82" s="304"/>
      <c r="K82" s="304"/>
      <c r="L82" s="304"/>
      <c r="M82" s="325">
        <f>M71+M61</f>
        <v>0</v>
      </c>
      <c r="N82" s="314">
        <f>A82*M82/100</f>
        <v>0</v>
      </c>
      <c r="P82" s="8"/>
      <c r="Q82" s="8"/>
      <c r="R82" s="8"/>
      <c r="S82" s="8"/>
      <c r="T82" s="8"/>
      <c r="U82" s="8"/>
      <c r="AE82" s="3"/>
      <c r="AF82" s="3"/>
      <c r="AG82" s="2"/>
      <c r="AH82" s="2"/>
      <c r="AI82" s="2"/>
      <c r="AJ82" s="2"/>
      <c r="AK82" s="2"/>
      <c r="AL82" s="2"/>
      <c r="AM82" s="2"/>
      <c r="AN82" s="2"/>
      <c r="AO82" s="2"/>
      <c r="AP82" s="2"/>
      <c r="AQ82" s="2"/>
      <c r="AR82" s="2"/>
    </row>
    <row r="83" spans="1:44">
      <c r="A83" s="303"/>
      <c r="B83" s="303"/>
      <c r="C83" s="303"/>
      <c r="D83" s="303"/>
      <c r="E83" s="303"/>
      <c r="F83" s="303"/>
      <c r="G83" s="303"/>
      <c r="H83" s="303"/>
      <c r="I83" s="304"/>
      <c r="J83" s="304"/>
      <c r="K83" s="304"/>
      <c r="L83" s="304"/>
      <c r="M83" s="305"/>
      <c r="N83" s="303"/>
      <c r="P83" s="8"/>
      <c r="Q83" s="8"/>
      <c r="R83" s="8"/>
      <c r="S83" s="8"/>
      <c r="T83" s="8"/>
      <c r="U83" s="8"/>
      <c r="AE83" s="3"/>
      <c r="AF83" s="3"/>
      <c r="AG83" s="2"/>
      <c r="AH83" s="2"/>
      <c r="AI83" s="2"/>
      <c r="AJ83" s="2"/>
      <c r="AK83" s="2"/>
      <c r="AL83" s="2"/>
      <c r="AM83" s="2"/>
      <c r="AN83" s="2"/>
      <c r="AO83" s="2"/>
      <c r="AP83" s="2"/>
      <c r="AQ83" s="2"/>
      <c r="AR83" s="2"/>
    </row>
    <row r="84" spans="1:44">
      <c r="P84" s="8"/>
      <c r="Q84" s="8"/>
      <c r="R84" s="8"/>
      <c r="S84" s="8"/>
      <c r="T84" s="8"/>
      <c r="U84" s="8"/>
      <c r="AE84" s="3"/>
      <c r="AF84" s="3"/>
      <c r="AG84" s="2"/>
      <c r="AH84" s="2"/>
      <c r="AI84" s="2"/>
      <c r="AJ84" s="2"/>
      <c r="AK84" s="2"/>
      <c r="AL84" s="2"/>
      <c r="AM84" s="2"/>
      <c r="AN84" s="2"/>
      <c r="AO84" s="2"/>
      <c r="AP84" s="2"/>
      <c r="AQ84" s="2"/>
      <c r="AR84" s="2"/>
    </row>
    <row r="85" spans="1:44">
      <c r="A85" s="5"/>
      <c r="H85" s="7"/>
      <c r="I85" s="3"/>
      <c r="J85" s="8"/>
      <c r="K85" s="8"/>
      <c r="L85" s="8"/>
      <c r="M85" s="8"/>
      <c r="N85" s="8"/>
      <c r="O85" s="8"/>
      <c r="P85" s="8"/>
      <c r="Q85" s="8"/>
      <c r="R85" s="8"/>
      <c r="S85" s="8"/>
      <c r="T85" s="8"/>
      <c r="U85" s="8"/>
      <c r="AE85" s="3"/>
      <c r="AF85" s="3"/>
      <c r="AG85" s="2"/>
      <c r="AH85" s="2"/>
      <c r="AI85" s="2"/>
      <c r="AJ85" s="2"/>
      <c r="AK85" s="2"/>
      <c r="AL85" s="2"/>
      <c r="AM85" s="2"/>
      <c r="AN85" s="2"/>
      <c r="AO85" s="2"/>
      <c r="AP85" s="2"/>
      <c r="AQ85" s="2"/>
      <c r="AR85" s="2"/>
    </row>
    <row r="86" spans="1:44">
      <c r="A86" s="5"/>
      <c r="H86" s="7"/>
      <c r="I86" s="3"/>
      <c r="J86" s="8"/>
      <c r="K86" s="8"/>
      <c r="L86" s="8"/>
      <c r="M86" s="8"/>
      <c r="N86" s="8"/>
      <c r="O86" s="8"/>
      <c r="P86" s="8"/>
      <c r="Q86" s="8"/>
      <c r="R86" s="8"/>
      <c r="S86" s="8"/>
      <c r="T86" s="8"/>
      <c r="U86" s="8"/>
      <c r="AE86" s="3"/>
      <c r="AF86" s="3"/>
      <c r="AG86" s="2"/>
      <c r="AH86" s="2"/>
      <c r="AI86" s="2"/>
      <c r="AJ86" s="2"/>
      <c r="AK86" s="2"/>
      <c r="AL86" s="2"/>
      <c r="AM86" s="2"/>
      <c r="AN86" s="2"/>
      <c r="AO86" s="2"/>
      <c r="AP86" s="2"/>
      <c r="AQ86" s="2"/>
      <c r="AR86" s="2"/>
    </row>
    <row r="87" spans="1:44">
      <c r="A87" s="5"/>
      <c r="H87" s="7"/>
      <c r="I87" s="3"/>
      <c r="J87" s="8"/>
      <c r="K87" s="8"/>
      <c r="L87" s="8"/>
      <c r="M87" s="8"/>
      <c r="N87" s="8"/>
      <c r="O87" s="8"/>
      <c r="P87" s="8"/>
      <c r="Q87" s="8"/>
      <c r="R87" s="8"/>
      <c r="S87" s="8"/>
      <c r="T87" s="8"/>
      <c r="U87" s="8"/>
      <c r="AE87" s="3"/>
      <c r="AF87" s="3"/>
      <c r="AG87" s="2"/>
      <c r="AH87" s="2"/>
      <c r="AI87" s="2"/>
      <c r="AJ87" s="2"/>
      <c r="AK87" s="2"/>
      <c r="AL87" s="2"/>
      <c r="AM87" s="2"/>
      <c r="AN87" s="2"/>
      <c r="AO87" s="2"/>
      <c r="AP87" s="2"/>
      <c r="AQ87" s="2"/>
      <c r="AR87" s="2"/>
    </row>
    <row r="88" spans="1:44">
      <c r="A88" s="5"/>
      <c r="H88" s="7"/>
      <c r="I88" s="3"/>
      <c r="J88" s="8"/>
      <c r="K88" s="8"/>
      <c r="L88" s="8"/>
      <c r="M88" s="8"/>
      <c r="N88" s="8"/>
      <c r="O88" s="8"/>
      <c r="P88" s="8"/>
      <c r="Q88" s="8"/>
      <c r="R88" s="8"/>
      <c r="S88" s="8"/>
      <c r="T88" s="8"/>
      <c r="U88" s="8"/>
      <c r="AE88" s="3"/>
      <c r="AF88" s="3"/>
      <c r="AG88" s="2"/>
      <c r="AH88" s="2"/>
      <c r="AI88" s="2"/>
      <c r="AJ88" s="2"/>
      <c r="AK88" s="2"/>
      <c r="AL88" s="2"/>
      <c r="AM88" s="2"/>
      <c r="AN88" s="2"/>
      <c r="AO88" s="2"/>
      <c r="AP88" s="2"/>
      <c r="AQ88" s="2"/>
      <c r="AR88" s="2"/>
    </row>
    <row r="89" spans="1:44">
      <c r="A89" s="5"/>
      <c r="H89" s="7"/>
      <c r="I89" s="3"/>
      <c r="J89" s="8"/>
      <c r="K89" s="8"/>
      <c r="L89" s="8"/>
      <c r="M89" s="8"/>
      <c r="N89" s="8"/>
      <c r="O89" s="8"/>
      <c r="P89" s="8"/>
      <c r="Q89" s="8"/>
      <c r="R89" s="8"/>
      <c r="S89" s="8"/>
      <c r="T89" s="8"/>
      <c r="U89" s="8"/>
      <c r="AE89" s="3"/>
      <c r="AF89" s="3"/>
      <c r="AG89" s="2"/>
      <c r="AH89" s="2"/>
      <c r="AI89" s="2"/>
      <c r="AJ89" s="2"/>
      <c r="AK89" s="2"/>
      <c r="AL89" s="2"/>
      <c r="AM89" s="2"/>
      <c r="AN89" s="2"/>
      <c r="AO89" s="2"/>
      <c r="AP89" s="2"/>
      <c r="AQ89" s="2"/>
      <c r="AR89" s="2"/>
    </row>
    <row r="90" spans="1:44">
      <c r="A90" s="5"/>
      <c r="H90" s="7"/>
      <c r="I90" s="3"/>
      <c r="J90" s="8"/>
      <c r="K90" s="8"/>
      <c r="L90" s="8"/>
      <c r="M90" s="8"/>
      <c r="N90" s="8"/>
      <c r="O90" s="8"/>
      <c r="P90" s="8"/>
      <c r="Q90" s="8"/>
      <c r="R90" s="8"/>
      <c r="S90" s="8"/>
      <c r="T90" s="8"/>
      <c r="U90" s="8"/>
      <c r="AE90" s="3"/>
      <c r="AF90" s="3"/>
      <c r="AG90" s="2"/>
      <c r="AH90" s="2"/>
      <c r="AI90" s="2"/>
      <c r="AJ90" s="2"/>
      <c r="AK90" s="2"/>
      <c r="AL90" s="2"/>
      <c r="AM90" s="2"/>
      <c r="AN90" s="2"/>
      <c r="AO90" s="2"/>
      <c r="AP90" s="2"/>
      <c r="AQ90" s="2"/>
      <c r="AR90" s="2"/>
    </row>
    <row r="91" spans="1:44">
      <c r="A91" s="5"/>
      <c r="H91" s="7"/>
      <c r="I91" s="3"/>
      <c r="J91" s="8"/>
      <c r="K91" s="8"/>
      <c r="L91" s="8"/>
      <c r="M91" s="8"/>
      <c r="N91" s="8"/>
      <c r="O91" s="8"/>
      <c r="P91" s="8"/>
      <c r="Q91" s="8"/>
      <c r="R91" s="8"/>
      <c r="S91" s="8"/>
      <c r="T91" s="8"/>
      <c r="U91" s="8"/>
      <c r="AE91" s="3"/>
      <c r="AF91" s="3"/>
      <c r="AG91" s="2"/>
      <c r="AH91" s="2"/>
      <c r="AI91" s="2"/>
      <c r="AJ91" s="2"/>
      <c r="AK91" s="2"/>
      <c r="AL91" s="2"/>
      <c r="AM91" s="2"/>
      <c r="AN91" s="2"/>
      <c r="AO91" s="2"/>
      <c r="AP91" s="2"/>
      <c r="AQ91" s="2"/>
      <c r="AR91" s="2"/>
    </row>
  </sheetData>
  <mergeCells count="150">
    <mergeCell ref="AH8:AH9"/>
    <mergeCell ref="AH10:AH11"/>
    <mergeCell ref="AH16:AH17"/>
    <mergeCell ref="AH26:AH27"/>
    <mergeCell ref="AC49:AC50"/>
    <mergeCell ref="AD49:AD50"/>
    <mergeCell ref="AE49:AE50"/>
    <mergeCell ref="AF49:AF50"/>
    <mergeCell ref="AG49:AG50"/>
    <mergeCell ref="AH49:AH50"/>
    <mergeCell ref="AD26:AD27"/>
    <mergeCell ref="AE26:AE27"/>
    <mergeCell ref="A69:N69"/>
    <mergeCell ref="A75:O75"/>
    <mergeCell ref="A49:M50"/>
    <mergeCell ref="A54:O54"/>
    <mergeCell ref="L44:L45"/>
    <mergeCell ref="AF26:AF27"/>
    <mergeCell ref="AG26:AG27"/>
    <mergeCell ref="W49:W50"/>
    <mergeCell ref="W28:W29"/>
    <mergeCell ref="C38:C43"/>
    <mergeCell ref="D38:D43"/>
    <mergeCell ref="E38:E43"/>
    <mergeCell ref="F38:F43"/>
    <mergeCell ref="G38:G43"/>
    <mergeCell ref="A80:N80"/>
    <mergeCell ref="V26:V27"/>
    <mergeCell ref="X26:X27"/>
    <mergeCell ref="AC26:AC27"/>
    <mergeCell ref="J28:J29"/>
    <mergeCell ref="V28:V29"/>
    <mergeCell ref="X28:X29"/>
    <mergeCell ref="A29:A46"/>
    <mergeCell ref="B29:B46"/>
    <mergeCell ref="C28:C37"/>
    <mergeCell ref="D28:D37"/>
    <mergeCell ref="H38:H42"/>
    <mergeCell ref="I38:I42"/>
    <mergeCell ref="J38:J42"/>
    <mergeCell ref="K38:K42"/>
    <mergeCell ref="L38:L42"/>
    <mergeCell ref="C44:C46"/>
    <mergeCell ref="D44:D46"/>
    <mergeCell ref="E44:E46"/>
    <mergeCell ref="F44:F45"/>
    <mergeCell ref="V49:V50"/>
    <mergeCell ref="X49:X50"/>
    <mergeCell ref="A59:N59"/>
    <mergeCell ref="A64:O64"/>
    <mergeCell ref="AS29:AS46"/>
    <mergeCell ref="G30:G34"/>
    <mergeCell ref="H30:H34"/>
    <mergeCell ref="I30:I34"/>
    <mergeCell ref="J30:J34"/>
    <mergeCell ref="E28:E37"/>
    <mergeCell ref="F28:F37"/>
    <mergeCell ref="G28:G29"/>
    <mergeCell ref="H28:H29"/>
    <mergeCell ref="I28:I29"/>
    <mergeCell ref="V30:V31"/>
    <mergeCell ref="X30:X31"/>
    <mergeCell ref="L31:L37"/>
    <mergeCell ref="G36:G37"/>
    <mergeCell ref="H36:H37"/>
    <mergeCell ref="I36:I37"/>
    <mergeCell ref="J36:J37"/>
    <mergeCell ref="AH28:AH29"/>
    <mergeCell ref="AH30:AH31"/>
    <mergeCell ref="F46:F47"/>
    <mergeCell ref="G46:G47"/>
    <mergeCell ref="K14:K15"/>
    <mergeCell ref="L14:L15"/>
    <mergeCell ref="K10:K11"/>
    <mergeCell ref="L10:L11"/>
    <mergeCell ref="V10:V11"/>
    <mergeCell ref="X10:X11"/>
    <mergeCell ref="A26:M27"/>
    <mergeCell ref="X16:X17"/>
    <mergeCell ref="F20:F21"/>
    <mergeCell ref="F22:F25"/>
    <mergeCell ref="G24:G25"/>
    <mergeCell ref="H24:H25"/>
    <mergeCell ref="I24:I25"/>
    <mergeCell ref="J24:J25"/>
    <mergeCell ref="H16:H17"/>
    <mergeCell ref="I16:I17"/>
    <mergeCell ref="J16:J17"/>
    <mergeCell ref="K16:K17"/>
    <mergeCell ref="L16:L18"/>
    <mergeCell ref="V16:V17"/>
    <mergeCell ref="X8:X9"/>
    <mergeCell ref="AS8:AS25"/>
    <mergeCell ref="C10:C11"/>
    <mergeCell ref="D10:D11"/>
    <mergeCell ref="E10:E11"/>
    <mergeCell ref="G10:G11"/>
    <mergeCell ref="H10:H11"/>
    <mergeCell ref="I10:I11"/>
    <mergeCell ref="J10:J11"/>
    <mergeCell ref="J8:J9"/>
    <mergeCell ref="K8:K9"/>
    <mergeCell ref="L8:L9"/>
    <mergeCell ref="T8:T9"/>
    <mergeCell ref="U8:U9"/>
    <mergeCell ref="V8:V9"/>
    <mergeCell ref="E8:E9"/>
    <mergeCell ref="F8:F19"/>
    <mergeCell ref="G8:G9"/>
    <mergeCell ref="H8:H9"/>
    <mergeCell ref="J12:J13"/>
    <mergeCell ref="K12:K13"/>
    <mergeCell ref="L12:L13"/>
    <mergeCell ref="V12:V13"/>
    <mergeCell ref="X12:X13"/>
    <mergeCell ref="I8:I9"/>
    <mergeCell ref="I12:I13"/>
    <mergeCell ref="E15:E25"/>
    <mergeCell ref="G16:G17"/>
    <mergeCell ref="A8:A25"/>
    <mergeCell ref="B8:B25"/>
    <mergeCell ref="C8:C9"/>
    <mergeCell ref="D8:D9"/>
    <mergeCell ref="C15:C25"/>
    <mergeCell ref="D15:D25"/>
    <mergeCell ref="C12:C13"/>
    <mergeCell ref="D12:D13"/>
    <mergeCell ref="E12:E13"/>
    <mergeCell ref="G12:G13"/>
    <mergeCell ref="H12:H13"/>
    <mergeCell ref="A1:AR1"/>
    <mergeCell ref="AT1:AX1"/>
    <mergeCell ref="A2:AR2"/>
    <mergeCell ref="A3:AR3"/>
    <mergeCell ref="A4:AR4"/>
    <mergeCell ref="Q6:Q7"/>
    <mergeCell ref="R6:R7"/>
    <mergeCell ref="S6:S7"/>
    <mergeCell ref="T6:X6"/>
    <mergeCell ref="Y6:AP6"/>
    <mergeCell ref="A5:AR5"/>
    <mergeCell ref="A6:B6"/>
    <mergeCell ref="C6:E6"/>
    <mergeCell ref="G6:J6"/>
    <mergeCell ref="K6:K7"/>
    <mergeCell ref="L6:L7"/>
    <mergeCell ref="M6:M7"/>
    <mergeCell ref="N6:N7"/>
    <mergeCell ref="O6:O7"/>
    <mergeCell ref="P6:P7"/>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63E2F-2DB8-44C2-8726-67FB55B875C3}">
  <dimension ref="A1:AX105"/>
  <sheetViews>
    <sheetView topLeftCell="A84" zoomScale="70" zoomScaleNormal="70" workbookViewId="0">
      <selection activeCell="D104" sqref="D104"/>
    </sheetView>
  </sheetViews>
  <sheetFormatPr baseColWidth="10" defaultColWidth="11.42578125" defaultRowHeight="14.25"/>
  <cols>
    <col min="1" max="1" width="35" style="3" customWidth="1"/>
    <col min="2" max="2" width="28.42578125" style="3" customWidth="1"/>
    <col min="3" max="3" width="24" style="3" customWidth="1"/>
    <col min="4" max="4" width="30.42578125" style="3" customWidth="1"/>
    <col min="5" max="5" width="18.42578125" style="3" customWidth="1"/>
    <col min="6" max="6" width="20.28515625" style="3" customWidth="1"/>
    <col min="7" max="7" width="37.42578125" style="3" customWidth="1"/>
    <col min="8" max="8" width="15" style="3" hidden="1" customWidth="1"/>
    <col min="9" max="10" width="12.7109375" style="2" hidden="1" customWidth="1"/>
    <col min="11" max="11" width="38.42578125" style="2" hidden="1" customWidth="1"/>
    <col min="12" max="12" width="57.42578125" style="2" hidden="1" customWidth="1"/>
    <col min="13" max="13" width="38.140625" style="5" customWidth="1"/>
    <col min="14" max="15" width="15" style="3" customWidth="1"/>
    <col min="16" max="16" width="16.28515625" style="3" customWidth="1"/>
    <col min="17" max="17" width="16.7109375" style="3" customWidth="1"/>
    <col min="18" max="18" width="16.85546875" style="3" customWidth="1"/>
    <col min="19" max="19" width="18" style="3" customWidth="1"/>
    <col min="20" max="20" width="20.140625" style="7" customWidth="1"/>
    <col min="21" max="21" width="21.42578125" style="3" customWidth="1"/>
    <col min="22" max="23" width="27.7109375" style="8" customWidth="1"/>
    <col min="24" max="24" width="28.7109375" style="8" customWidth="1"/>
    <col min="25" max="28" width="25.42578125" style="8" hidden="1" customWidth="1"/>
    <col min="29" max="32" width="25.42578125" style="8" customWidth="1"/>
    <col min="33" max="33" width="27.7109375" style="8" bestFit="1" customWidth="1"/>
    <col min="34" max="34" width="25.42578125" style="8" customWidth="1"/>
    <col min="35" max="37" width="34.28515625" style="8" customWidth="1"/>
    <col min="38" max="42" width="43.85546875" style="8" customWidth="1"/>
    <col min="43" max="43" width="20" style="3" customWidth="1"/>
    <col min="44" max="44" width="20.140625" style="3" customWidth="1"/>
    <col min="45" max="45" width="30.28515625" style="2" hidden="1" customWidth="1"/>
    <col min="46" max="47" width="17.42578125" style="2" customWidth="1"/>
    <col min="48" max="48" width="21.140625" style="2" customWidth="1"/>
    <col min="49" max="49" width="16.7109375" style="2" customWidth="1"/>
    <col min="50" max="50" width="20.140625" style="2" customWidth="1"/>
    <col min="51" max="16384" width="11.42578125" style="2"/>
  </cols>
  <sheetData>
    <row r="1" spans="1:50" s="218" customFormat="1" ht="30.75" customHeight="1" thickTop="1" thickBot="1">
      <c r="A1" s="807" t="s">
        <v>585</v>
      </c>
      <c r="B1" s="807"/>
      <c r="C1" s="807"/>
      <c r="D1" s="807"/>
      <c r="E1" s="807"/>
      <c r="F1" s="807"/>
      <c r="G1" s="807"/>
      <c r="H1" s="807"/>
      <c r="I1" s="807"/>
      <c r="J1" s="807"/>
      <c r="K1" s="807"/>
      <c r="L1" s="807"/>
      <c r="M1" s="807"/>
      <c r="N1" s="807"/>
      <c r="O1" s="807"/>
      <c r="P1" s="807"/>
      <c r="Q1" s="807"/>
      <c r="R1" s="807"/>
      <c r="S1" s="807"/>
      <c r="T1" s="807"/>
      <c r="U1" s="807"/>
      <c r="V1" s="807"/>
      <c r="W1" s="807"/>
      <c r="X1" s="807"/>
      <c r="Y1" s="807"/>
      <c r="Z1" s="807"/>
      <c r="AA1" s="807"/>
      <c r="AB1" s="807"/>
      <c r="AC1" s="807"/>
      <c r="AD1" s="807"/>
      <c r="AE1" s="807"/>
      <c r="AF1" s="807"/>
      <c r="AG1" s="807"/>
      <c r="AH1" s="807"/>
      <c r="AI1" s="807"/>
      <c r="AJ1" s="807"/>
      <c r="AK1" s="807"/>
      <c r="AL1" s="807"/>
      <c r="AM1" s="807"/>
      <c r="AN1" s="807"/>
      <c r="AO1" s="807"/>
      <c r="AP1" s="807"/>
      <c r="AQ1" s="807"/>
      <c r="AR1" s="807"/>
      <c r="AS1" s="24"/>
      <c r="AT1" s="790" t="s">
        <v>34</v>
      </c>
      <c r="AU1" s="790"/>
      <c r="AV1" s="790"/>
      <c r="AW1" s="790"/>
      <c r="AX1" s="791"/>
    </row>
    <row r="2" spans="1:50" s="218" customFormat="1" ht="27.95" customHeight="1" thickTop="1" thickBot="1">
      <c r="A2" s="774" t="s">
        <v>586</v>
      </c>
      <c r="B2" s="774"/>
      <c r="C2" s="774"/>
      <c r="D2" s="774"/>
      <c r="E2" s="774"/>
      <c r="F2" s="774"/>
      <c r="G2" s="774"/>
      <c r="H2" s="774"/>
      <c r="I2" s="774"/>
      <c r="J2" s="774"/>
      <c r="K2" s="774"/>
      <c r="L2" s="774"/>
      <c r="M2" s="774"/>
      <c r="N2" s="774"/>
      <c r="O2" s="774"/>
      <c r="P2" s="774"/>
      <c r="Q2" s="774"/>
      <c r="R2" s="774"/>
      <c r="S2" s="774"/>
      <c r="T2" s="774"/>
      <c r="U2" s="774"/>
      <c r="V2" s="774"/>
      <c r="W2" s="774"/>
      <c r="X2" s="774"/>
      <c r="Y2" s="774"/>
      <c r="Z2" s="774"/>
      <c r="AA2" s="774"/>
      <c r="AB2" s="774"/>
      <c r="AC2" s="774"/>
      <c r="AD2" s="774"/>
      <c r="AE2" s="774"/>
      <c r="AF2" s="774"/>
      <c r="AG2" s="774"/>
      <c r="AH2" s="774"/>
      <c r="AI2" s="774"/>
      <c r="AJ2" s="774"/>
      <c r="AK2" s="774"/>
      <c r="AL2" s="774"/>
      <c r="AM2" s="774"/>
      <c r="AN2" s="774"/>
      <c r="AO2" s="774"/>
      <c r="AP2" s="774"/>
      <c r="AQ2" s="774"/>
      <c r="AR2" s="774"/>
      <c r="AS2" s="24"/>
      <c r="AT2" s="294" t="s">
        <v>35</v>
      </c>
      <c r="AU2" s="22" t="s">
        <v>36</v>
      </c>
      <c r="AV2" s="18" t="s">
        <v>37</v>
      </c>
      <c r="AW2" s="18" t="s">
        <v>38</v>
      </c>
      <c r="AX2" s="18" t="s">
        <v>29</v>
      </c>
    </row>
    <row r="3" spans="1:50" s="218" customFormat="1" ht="25.5" customHeight="1" thickTop="1" thickBot="1">
      <c r="B3" s="920" t="s">
        <v>132</v>
      </c>
      <c r="C3" s="921"/>
      <c r="D3" s="921"/>
      <c r="E3" s="921"/>
      <c r="F3" s="921"/>
      <c r="G3" s="921"/>
      <c r="H3" s="921"/>
      <c r="I3" s="921"/>
      <c r="J3" s="921"/>
      <c r="K3" s="921"/>
      <c r="L3" s="921"/>
      <c r="M3" s="921"/>
      <c r="N3" s="921"/>
      <c r="O3" s="921"/>
      <c r="P3" s="921"/>
      <c r="Q3" s="921"/>
      <c r="R3" s="921"/>
      <c r="S3" s="921"/>
      <c r="T3" s="921"/>
      <c r="U3" s="921"/>
      <c r="V3" s="921"/>
      <c r="W3" s="921"/>
      <c r="X3" s="921"/>
      <c r="Y3" s="921"/>
      <c r="Z3" s="921"/>
      <c r="AA3" s="921"/>
      <c r="AB3" s="921"/>
      <c r="AC3" s="921"/>
      <c r="AD3" s="921"/>
      <c r="AE3" s="921"/>
      <c r="AF3" s="921"/>
      <c r="AG3" s="921"/>
      <c r="AH3" s="921"/>
      <c r="AI3" s="921"/>
      <c r="AJ3" s="921"/>
      <c r="AK3" s="921"/>
      <c r="AL3" s="921"/>
      <c r="AM3" s="921"/>
      <c r="AN3" s="921"/>
      <c r="AO3" s="921"/>
      <c r="AP3" s="921"/>
      <c r="AQ3" s="921"/>
      <c r="AR3" s="922"/>
      <c r="AS3" s="25"/>
      <c r="AT3" s="30"/>
      <c r="AU3" s="23"/>
      <c r="AV3" s="19"/>
      <c r="AW3" s="20"/>
      <c r="AX3" s="21"/>
    </row>
    <row r="4" spans="1:50" s="218" customFormat="1" ht="27.95" customHeight="1" thickTop="1" thickBot="1">
      <c r="A4" s="923" t="s">
        <v>609</v>
      </c>
      <c r="B4" s="924"/>
      <c r="C4" s="924"/>
      <c r="D4" s="924"/>
      <c r="E4" s="924"/>
      <c r="F4" s="924"/>
      <c r="G4" s="924"/>
      <c r="H4" s="924"/>
      <c r="I4" s="924"/>
      <c r="J4" s="924"/>
      <c r="K4" s="924"/>
      <c r="L4" s="924"/>
      <c r="M4" s="924"/>
      <c r="N4" s="924"/>
      <c r="O4" s="924"/>
      <c r="P4" s="924"/>
      <c r="Q4" s="924"/>
      <c r="R4" s="924"/>
      <c r="S4" s="924"/>
      <c r="T4" s="924"/>
      <c r="U4" s="924"/>
      <c r="V4" s="924"/>
      <c r="W4" s="924"/>
      <c r="X4" s="924"/>
      <c r="Y4" s="924"/>
      <c r="Z4" s="924"/>
      <c r="AA4" s="924"/>
      <c r="AB4" s="924"/>
      <c r="AC4" s="924"/>
      <c r="AD4" s="924"/>
      <c r="AE4" s="924"/>
      <c r="AF4" s="924"/>
      <c r="AG4" s="924"/>
      <c r="AH4" s="924"/>
      <c r="AI4" s="924"/>
      <c r="AJ4" s="924"/>
      <c r="AK4" s="924"/>
      <c r="AL4" s="924"/>
      <c r="AM4" s="924"/>
      <c r="AN4" s="924"/>
      <c r="AO4" s="924"/>
      <c r="AP4" s="924"/>
      <c r="AQ4" s="924"/>
      <c r="AR4" s="925"/>
      <c r="AS4" s="25"/>
      <c r="AT4" s="30"/>
      <c r="AU4" s="23"/>
      <c r="AV4" s="19"/>
      <c r="AW4" s="20"/>
      <c r="AX4" s="21"/>
    </row>
    <row r="5" spans="1:50" s="218" customFormat="1" ht="27.95" customHeight="1" thickTop="1" thickBot="1">
      <c r="A5" s="792"/>
      <c r="B5" s="792"/>
      <c r="C5" s="792"/>
      <c r="D5" s="792"/>
      <c r="E5" s="792"/>
      <c r="F5" s="792"/>
      <c r="G5" s="792"/>
      <c r="H5" s="792"/>
      <c r="I5" s="792"/>
      <c r="J5" s="792"/>
      <c r="K5" s="792"/>
      <c r="L5" s="792"/>
      <c r="M5" s="792"/>
      <c r="N5" s="792"/>
      <c r="O5" s="792"/>
      <c r="P5" s="792"/>
      <c r="Q5" s="792"/>
      <c r="R5" s="792"/>
      <c r="S5" s="792"/>
      <c r="T5" s="792"/>
      <c r="U5" s="792"/>
      <c r="V5" s="792"/>
      <c r="W5" s="792"/>
      <c r="X5" s="792"/>
      <c r="Y5" s="792"/>
      <c r="Z5" s="792"/>
      <c r="AA5" s="792"/>
      <c r="AB5" s="792"/>
      <c r="AC5" s="792"/>
      <c r="AD5" s="792"/>
      <c r="AE5" s="792"/>
      <c r="AF5" s="792"/>
      <c r="AG5" s="792"/>
      <c r="AH5" s="792"/>
      <c r="AI5" s="792"/>
      <c r="AJ5" s="792"/>
      <c r="AK5" s="792"/>
      <c r="AL5" s="792"/>
      <c r="AM5" s="792"/>
      <c r="AN5" s="792"/>
      <c r="AO5" s="792"/>
      <c r="AP5" s="792"/>
      <c r="AQ5" s="792"/>
      <c r="AR5" s="792"/>
      <c r="AS5" s="165"/>
      <c r="AT5" s="30"/>
      <c r="AU5" s="23"/>
      <c r="AV5" s="19"/>
      <c r="AW5" s="20"/>
      <c r="AX5" s="21"/>
    </row>
    <row r="6" spans="1:50" ht="27.95" customHeight="1" thickBot="1">
      <c r="A6" s="794"/>
      <c r="B6" s="795"/>
      <c r="C6" s="796" t="s">
        <v>45</v>
      </c>
      <c r="D6" s="794"/>
      <c r="E6" s="795"/>
      <c r="F6" s="31"/>
      <c r="G6" s="759" t="s">
        <v>311</v>
      </c>
      <c r="H6" s="759"/>
      <c r="I6" s="759"/>
      <c r="J6" s="759"/>
      <c r="K6" s="793" t="s">
        <v>44</v>
      </c>
      <c r="L6" s="793" t="s">
        <v>10</v>
      </c>
      <c r="M6" s="918" t="s">
        <v>1</v>
      </c>
      <c r="N6" s="763" t="s">
        <v>48</v>
      </c>
      <c r="O6" s="763" t="s">
        <v>2</v>
      </c>
      <c r="P6" s="763" t="s">
        <v>3</v>
      </c>
      <c r="Q6" s="763" t="s">
        <v>4</v>
      </c>
      <c r="R6" s="763" t="s">
        <v>5</v>
      </c>
      <c r="S6" s="763" t="s">
        <v>6</v>
      </c>
      <c r="T6" s="762" t="s">
        <v>7</v>
      </c>
      <c r="U6" s="762"/>
      <c r="V6" s="762"/>
      <c r="W6" s="762"/>
      <c r="X6" s="762"/>
      <c r="Y6" s="903" t="s">
        <v>612</v>
      </c>
      <c r="Z6" s="904"/>
      <c r="AA6" s="904"/>
      <c r="AB6" s="904"/>
      <c r="AC6" s="904"/>
      <c r="AD6" s="904"/>
      <c r="AE6" s="905"/>
      <c r="AF6" s="337"/>
      <c r="AG6" s="337"/>
      <c r="AH6" s="337"/>
      <c r="AI6" s="337"/>
      <c r="AJ6" s="337"/>
      <c r="AK6" s="337"/>
      <c r="AL6" s="337"/>
      <c r="AM6" s="337"/>
      <c r="AN6" s="337"/>
      <c r="AO6" s="337"/>
      <c r="AP6" s="337"/>
      <c r="AQ6" s="906" t="s">
        <v>8</v>
      </c>
      <c r="AR6" s="926" t="s">
        <v>9</v>
      </c>
      <c r="AS6" s="166"/>
      <c r="AT6" s="22" t="s">
        <v>39</v>
      </c>
      <c r="AU6" s="17" t="s">
        <v>30</v>
      </c>
      <c r="AV6" s="18" t="s">
        <v>31</v>
      </c>
      <c r="AW6" s="18" t="s">
        <v>32</v>
      </c>
      <c r="AX6" s="18" t="s">
        <v>33</v>
      </c>
    </row>
    <row r="7" spans="1:50" ht="68.25" customHeight="1" thickTop="1" thickBot="1">
      <c r="A7" s="270" t="s">
        <v>42</v>
      </c>
      <c r="B7" s="270" t="s">
        <v>43</v>
      </c>
      <c r="C7" s="270" t="s">
        <v>11</v>
      </c>
      <c r="D7" s="270" t="s">
        <v>52</v>
      </c>
      <c r="E7" s="270" t="s">
        <v>47</v>
      </c>
      <c r="F7" s="332" t="s">
        <v>41</v>
      </c>
      <c r="G7" s="333" t="s">
        <v>46</v>
      </c>
      <c r="H7" s="270" t="s">
        <v>52</v>
      </c>
      <c r="I7" s="270" t="s">
        <v>12</v>
      </c>
      <c r="J7" s="270" t="s">
        <v>47</v>
      </c>
      <c r="K7" s="793"/>
      <c r="L7" s="793"/>
      <c r="M7" s="919"/>
      <c r="N7" s="764"/>
      <c r="O7" s="764"/>
      <c r="P7" s="764"/>
      <c r="Q7" s="764"/>
      <c r="R7" s="764"/>
      <c r="S7" s="764"/>
      <c r="T7" s="270" t="s">
        <v>13</v>
      </c>
      <c r="U7" s="270" t="s">
        <v>14</v>
      </c>
      <c r="V7" s="4" t="s">
        <v>15</v>
      </c>
      <c r="W7" s="4" t="s">
        <v>695</v>
      </c>
      <c r="X7" s="4" t="s">
        <v>16</v>
      </c>
      <c r="Y7" s="327" t="s">
        <v>565</v>
      </c>
      <c r="Z7" s="327" t="s">
        <v>566</v>
      </c>
      <c r="AA7" s="327" t="s">
        <v>567</v>
      </c>
      <c r="AB7" s="327" t="s">
        <v>568</v>
      </c>
      <c r="AC7" s="327" t="s">
        <v>569</v>
      </c>
      <c r="AD7" s="327" t="s">
        <v>570</v>
      </c>
      <c r="AE7" s="327" t="s">
        <v>571</v>
      </c>
      <c r="AF7" s="338" t="s">
        <v>572</v>
      </c>
      <c r="AG7" s="338" t="s">
        <v>573</v>
      </c>
      <c r="AH7" s="338" t="s">
        <v>574</v>
      </c>
      <c r="AI7" s="338" t="s">
        <v>575</v>
      </c>
      <c r="AJ7" s="338" t="s">
        <v>576</v>
      </c>
      <c r="AK7" s="338" t="s">
        <v>577</v>
      </c>
      <c r="AL7" s="338" t="s">
        <v>578</v>
      </c>
      <c r="AM7" s="338" t="s">
        <v>579</v>
      </c>
      <c r="AN7" s="338" t="s">
        <v>580</v>
      </c>
      <c r="AO7" s="338" t="s">
        <v>581</v>
      </c>
      <c r="AP7" s="338" t="s">
        <v>582</v>
      </c>
      <c r="AQ7" s="907"/>
      <c r="AR7" s="927" t="s">
        <v>9</v>
      </c>
      <c r="AS7" s="166"/>
    </row>
    <row r="8" spans="1:50" s="218" customFormat="1" ht="99.75" customHeight="1" thickBot="1">
      <c r="A8" s="695" t="s">
        <v>223</v>
      </c>
      <c r="B8" s="695" t="s">
        <v>134</v>
      </c>
      <c r="C8" s="695" t="s">
        <v>135</v>
      </c>
      <c r="D8" s="695" t="s">
        <v>17</v>
      </c>
      <c r="E8" s="695">
        <v>4</v>
      </c>
      <c r="F8" s="669" t="s">
        <v>137</v>
      </c>
      <c r="G8" s="668" t="s">
        <v>139</v>
      </c>
      <c r="H8" s="69"/>
      <c r="I8" s="70"/>
      <c r="J8" s="70"/>
      <c r="K8" s="71"/>
      <c r="L8" s="72"/>
      <c r="M8" s="72" t="s">
        <v>391</v>
      </c>
      <c r="N8" s="219">
        <v>100</v>
      </c>
      <c r="O8" s="377" t="s">
        <v>358</v>
      </c>
      <c r="P8" s="375">
        <v>100</v>
      </c>
      <c r="Q8" s="219"/>
      <c r="R8" s="219"/>
      <c r="S8" s="219"/>
      <c r="T8" s="266">
        <v>1020299</v>
      </c>
      <c r="U8" s="74"/>
      <c r="V8" s="176">
        <v>3500000000</v>
      </c>
      <c r="W8" s="176">
        <f>4044687242+268650899</f>
        <v>4313338141</v>
      </c>
      <c r="X8" s="176">
        <f>+V8+W8</f>
        <v>7813338141</v>
      </c>
      <c r="Y8" s="339"/>
      <c r="Z8" s="339"/>
      <c r="AA8" s="339"/>
      <c r="AB8" s="339"/>
      <c r="AC8" s="339">
        <v>4729916752</v>
      </c>
      <c r="AD8" s="339">
        <v>3047960291</v>
      </c>
      <c r="AE8" s="339"/>
      <c r="AF8" s="340"/>
      <c r="AG8" s="340">
        <f>+AC8+AD8+AE8+AF8</f>
        <v>7777877043</v>
      </c>
      <c r="AH8" s="478">
        <f>+AG8/X8</f>
        <v>0.99546146635918387</v>
      </c>
      <c r="AI8" s="340"/>
      <c r="AJ8" s="340"/>
      <c r="AK8" s="340"/>
      <c r="AL8" s="340"/>
      <c r="AM8" s="340"/>
      <c r="AN8" s="340"/>
      <c r="AO8" s="340"/>
      <c r="AP8" s="340"/>
      <c r="AQ8" s="341" t="s">
        <v>342</v>
      </c>
      <c r="AR8" s="341" t="s">
        <v>342</v>
      </c>
      <c r="AS8" s="260"/>
    </row>
    <row r="9" spans="1:50" s="218" customFormat="1" ht="99.75" customHeight="1" thickBot="1">
      <c r="A9" s="669"/>
      <c r="B9" s="669"/>
      <c r="C9" s="669"/>
      <c r="D9" s="669"/>
      <c r="E9" s="669"/>
      <c r="F9" s="669"/>
      <c r="G9" s="669"/>
      <c r="H9" s="69" t="s">
        <v>17</v>
      </c>
      <c r="I9" s="70" t="s">
        <v>51</v>
      </c>
      <c r="J9" s="70">
        <v>0</v>
      </c>
      <c r="K9" s="71"/>
      <c r="L9" s="696" t="s">
        <v>142</v>
      </c>
      <c r="M9" s="213" t="s">
        <v>507</v>
      </c>
      <c r="N9" s="219">
        <v>100</v>
      </c>
      <c r="O9" s="377" t="s">
        <v>358</v>
      </c>
      <c r="P9" s="375">
        <v>100</v>
      </c>
      <c r="Q9" s="219">
        <v>0</v>
      </c>
      <c r="R9" s="219">
        <v>0</v>
      </c>
      <c r="S9" s="219">
        <v>0</v>
      </c>
      <c r="T9" s="929" t="s">
        <v>346</v>
      </c>
      <c r="U9" s="938"/>
      <c r="V9" s="846">
        <v>1231229362</v>
      </c>
      <c r="W9" s="435"/>
      <c r="X9" s="846">
        <f>V9</f>
        <v>1231229362</v>
      </c>
      <c r="Y9" s="342"/>
      <c r="Z9" s="342"/>
      <c r="AA9" s="342"/>
      <c r="AB9" s="342"/>
      <c r="AC9" s="342">
        <v>82214410</v>
      </c>
      <c r="AD9" s="342">
        <v>35168262</v>
      </c>
      <c r="AE9" s="342"/>
      <c r="AF9" s="343"/>
      <c r="AG9" s="340">
        <f t="shared" ref="AG9:AG60" si="0">+AC9+AD9+AE9+AF9</f>
        <v>117382672</v>
      </c>
      <c r="AH9" s="908">
        <f>+(AG9+AG10+AG11)/X9</f>
        <v>0.28601333745645352</v>
      </c>
      <c r="AI9" s="343"/>
      <c r="AJ9" s="343"/>
      <c r="AK9" s="343"/>
      <c r="AL9" s="343"/>
      <c r="AM9" s="343"/>
      <c r="AN9" s="343"/>
      <c r="AO9" s="343"/>
      <c r="AP9" s="343"/>
      <c r="AQ9" s="341" t="s">
        <v>342</v>
      </c>
      <c r="AR9" s="341" t="s">
        <v>342</v>
      </c>
      <c r="AS9" s="700" t="s">
        <v>341</v>
      </c>
    </row>
    <row r="10" spans="1:50" s="218" customFormat="1" ht="99.75" customHeight="1" thickBot="1">
      <c r="A10" s="669"/>
      <c r="B10" s="669"/>
      <c r="C10" s="669"/>
      <c r="D10" s="669"/>
      <c r="E10" s="669"/>
      <c r="F10" s="669"/>
      <c r="G10" s="669"/>
      <c r="H10" s="75"/>
      <c r="I10" s="265"/>
      <c r="J10" s="265"/>
      <c r="K10" s="76"/>
      <c r="L10" s="667"/>
      <c r="M10" s="214" t="s">
        <v>508</v>
      </c>
      <c r="N10" s="244">
        <v>100</v>
      </c>
      <c r="O10" s="377" t="s">
        <v>358</v>
      </c>
      <c r="P10" s="376">
        <v>100</v>
      </c>
      <c r="Q10" s="244">
        <v>0</v>
      </c>
      <c r="R10" s="244">
        <v>0</v>
      </c>
      <c r="S10" s="244">
        <v>0</v>
      </c>
      <c r="T10" s="930"/>
      <c r="U10" s="939"/>
      <c r="V10" s="847"/>
      <c r="W10" s="437"/>
      <c r="X10" s="847"/>
      <c r="Y10" s="342"/>
      <c r="Z10" s="342"/>
      <c r="AA10" s="342"/>
      <c r="AB10" s="342"/>
      <c r="AC10" s="342">
        <v>82214412</v>
      </c>
      <c r="AD10" s="342">
        <v>35168263</v>
      </c>
      <c r="AE10" s="342"/>
      <c r="AF10" s="343"/>
      <c r="AG10" s="340">
        <f t="shared" si="0"/>
        <v>117382675</v>
      </c>
      <c r="AH10" s="909"/>
      <c r="AI10" s="343"/>
      <c r="AJ10" s="343"/>
      <c r="AK10" s="343"/>
      <c r="AL10" s="343"/>
      <c r="AM10" s="343"/>
      <c r="AN10" s="343"/>
      <c r="AO10" s="343"/>
      <c r="AP10" s="343"/>
      <c r="AQ10" s="341" t="s">
        <v>342</v>
      </c>
      <c r="AR10" s="341" t="s">
        <v>342</v>
      </c>
      <c r="AS10" s="701"/>
    </row>
    <row r="11" spans="1:50" s="218" customFormat="1" ht="99.75" customHeight="1" thickBot="1">
      <c r="A11" s="669"/>
      <c r="B11" s="669"/>
      <c r="C11" s="669"/>
      <c r="D11" s="669"/>
      <c r="E11" s="669"/>
      <c r="F11" s="669"/>
      <c r="G11" s="697"/>
      <c r="H11" s="75"/>
      <c r="I11" s="265"/>
      <c r="J11" s="265"/>
      <c r="K11" s="76"/>
      <c r="L11" s="667"/>
      <c r="M11" s="214" t="s">
        <v>509</v>
      </c>
      <c r="N11" s="244">
        <v>100</v>
      </c>
      <c r="O11" s="378" t="s">
        <v>510</v>
      </c>
      <c r="P11" s="376">
        <v>25</v>
      </c>
      <c r="Q11" s="244">
        <v>25</v>
      </c>
      <c r="R11" s="244">
        <v>25</v>
      </c>
      <c r="S11" s="244">
        <v>25</v>
      </c>
      <c r="T11" s="931"/>
      <c r="U11" s="940"/>
      <c r="V11" s="848"/>
      <c r="W11" s="436"/>
      <c r="X11" s="848"/>
      <c r="Y11" s="342"/>
      <c r="Z11" s="342"/>
      <c r="AA11" s="342"/>
      <c r="AB11" s="342"/>
      <c r="AC11" s="342">
        <v>82214410</v>
      </c>
      <c r="AD11" s="342">
        <v>35168262</v>
      </c>
      <c r="AE11" s="342"/>
      <c r="AF11" s="343"/>
      <c r="AG11" s="340">
        <f t="shared" si="0"/>
        <v>117382672</v>
      </c>
      <c r="AH11" s="910"/>
      <c r="AI11" s="343"/>
      <c r="AJ11" s="343"/>
      <c r="AK11" s="343"/>
      <c r="AL11" s="343"/>
      <c r="AM11" s="343"/>
      <c r="AN11" s="343"/>
      <c r="AO11" s="343"/>
      <c r="AP11" s="343"/>
      <c r="AQ11" s="341" t="s">
        <v>342</v>
      </c>
      <c r="AR11" s="341" t="s">
        <v>342</v>
      </c>
      <c r="AS11" s="701"/>
    </row>
    <row r="12" spans="1:50" s="218" customFormat="1" ht="99.75" customHeight="1" thickBot="1">
      <c r="A12" s="669"/>
      <c r="B12" s="669"/>
      <c r="C12" s="669"/>
      <c r="D12" s="669"/>
      <c r="E12" s="669"/>
      <c r="F12" s="669"/>
      <c r="G12" s="695" t="s">
        <v>138</v>
      </c>
      <c r="H12" s="75" t="s">
        <v>17</v>
      </c>
      <c r="I12" s="265" t="s">
        <v>51</v>
      </c>
      <c r="J12" s="265">
        <v>0</v>
      </c>
      <c r="K12" s="76"/>
      <c r="L12" s="667"/>
      <c r="M12" s="214" t="s">
        <v>511</v>
      </c>
      <c r="N12" s="215">
        <v>0.8</v>
      </c>
      <c r="O12" s="378" t="s">
        <v>358</v>
      </c>
      <c r="P12" s="244">
        <v>0</v>
      </c>
      <c r="Q12" s="244">
        <v>50</v>
      </c>
      <c r="R12" s="244">
        <v>25</v>
      </c>
      <c r="S12" s="244">
        <v>25</v>
      </c>
      <c r="T12" s="929" t="s">
        <v>343</v>
      </c>
      <c r="U12" s="268"/>
      <c r="V12" s="911">
        <v>1922861724</v>
      </c>
      <c r="W12" s="911">
        <f>100000000+610000000</f>
        <v>710000000</v>
      </c>
      <c r="X12" s="911">
        <f>+V12+W12</f>
        <v>2632861724</v>
      </c>
      <c r="Y12" s="342"/>
      <c r="Z12" s="342"/>
      <c r="AA12" s="342"/>
      <c r="AB12" s="342"/>
      <c r="AC12" s="912">
        <v>512607684</v>
      </c>
      <c r="AD12" s="912">
        <v>481441703</v>
      </c>
      <c r="AE12" s="915"/>
      <c r="AF12" s="915"/>
      <c r="AG12" s="912">
        <f>+AC12+AD12+AE12+AF12</f>
        <v>994049387</v>
      </c>
      <c r="AH12" s="898">
        <f t="shared" ref="AH12:AH72" si="1">+AG12/X12</f>
        <v>0.37755472607569418</v>
      </c>
      <c r="AI12" s="343"/>
      <c r="AJ12" s="343"/>
      <c r="AK12" s="343"/>
      <c r="AL12" s="343"/>
      <c r="AM12" s="343"/>
      <c r="AN12" s="343"/>
      <c r="AO12" s="343"/>
      <c r="AP12" s="343"/>
      <c r="AQ12" s="341" t="s">
        <v>342</v>
      </c>
      <c r="AR12" s="341" t="s">
        <v>342</v>
      </c>
      <c r="AS12" s="701"/>
    </row>
    <row r="13" spans="1:50" s="218" customFormat="1" ht="99.75" customHeight="1" thickBot="1">
      <c r="A13" s="669"/>
      <c r="B13" s="669"/>
      <c r="C13" s="669"/>
      <c r="D13" s="669"/>
      <c r="E13" s="669"/>
      <c r="F13" s="669"/>
      <c r="G13" s="669"/>
      <c r="H13" s="75"/>
      <c r="I13" s="265"/>
      <c r="J13" s="265"/>
      <c r="K13" s="76"/>
      <c r="L13" s="667"/>
      <c r="M13" s="214" t="s">
        <v>512</v>
      </c>
      <c r="N13" s="334">
        <v>1</v>
      </c>
      <c r="O13" s="244" t="s">
        <v>513</v>
      </c>
      <c r="P13" s="244">
        <v>0</v>
      </c>
      <c r="Q13" s="244">
        <v>0</v>
      </c>
      <c r="R13" s="244">
        <v>0</v>
      </c>
      <c r="S13" s="244">
        <v>1</v>
      </c>
      <c r="T13" s="930"/>
      <c r="U13" s="268"/>
      <c r="V13" s="911"/>
      <c r="W13" s="911"/>
      <c r="X13" s="911"/>
      <c r="Y13" s="342"/>
      <c r="Z13" s="342"/>
      <c r="AA13" s="342"/>
      <c r="AB13" s="342"/>
      <c r="AC13" s="913"/>
      <c r="AD13" s="913"/>
      <c r="AE13" s="916"/>
      <c r="AF13" s="916"/>
      <c r="AG13" s="913"/>
      <c r="AH13" s="899"/>
      <c r="AI13" s="343"/>
      <c r="AJ13" s="343"/>
      <c r="AK13" s="343"/>
      <c r="AL13" s="343"/>
      <c r="AM13" s="343"/>
      <c r="AN13" s="343"/>
      <c r="AO13" s="343"/>
      <c r="AP13" s="343"/>
      <c r="AQ13" s="341"/>
      <c r="AR13" s="341"/>
      <c r="AS13" s="701"/>
    </row>
    <row r="14" spans="1:50" s="218" customFormat="1" ht="99.75" customHeight="1" thickBot="1">
      <c r="A14" s="669"/>
      <c r="B14" s="669"/>
      <c r="C14" s="669"/>
      <c r="D14" s="669"/>
      <c r="E14" s="669"/>
      <c r="F14" s="669"/>
      <c r="G14" s="670"/>
      <c r="H14" s="75"/>
      <c r="I14" s="265"/>
      <c r="J14" s="265"/>
      <c r="K14" s="76"/>
      <c r="L14" s="667"/>
      <c r="M14" s="214" t="s">
        <v>514</v>
      </c>
      <c r="N14" s="244">
        <v>100</v>
      </c>
      <c r="O14" s="378" t="s">
        <v>510</v>
      </c>
      <c r="P14" s="244">
        <v>0</v>
      </c>
      <c r="Q14" s="244">
        <v>0</v>
      </c>
      <c r="R14" s="244">
        <v>0</v>
      </c>
      <c r="S14" s="244">
        <v>100</v>
      </c>
      <c r="T14" s="931"/>
      <c r="U14" s="268"/>
      <c r="V14" s="911"/>
      <c r="W14" s="911"/>
      <c r="X14" s="911"/>
      <c r="Y14" s="342"/>
      <c r="Z14" s="342"/>
      <c r="AA14" s="342"/>
      <c r="AB14" s="342"/>
      <c r="AC14" s="913"/>
      <c r="AD14" s="913"/>
      <c r="AE14" s="916"/>
      <c r="AF14" s="916"/>
      <c r="AG14" s="913"/>
      <c r="AH14" s="899"/>
      <c r="AI14" s="343"/>
      <c r="AJ14" s="343"/>
      <c r="AK14" s="343"/>
      <c r="AL14" s="343"/>
      <c r="AM14" s="343"/>
      <c r="AN14" s="343"/>
      <c r="AO14" s="343"/>
      <c r="AP14" s="343"/>
      <c r="AQ14" s="341"/>
      <c r="AR14" s="341"/>
      <c r="AS14" s="701"/>
    </row>
    <row r="15" spans="1:50" s="218" customFormat="1" ht="99.75" customHeight="1" thickBot="1">
      <c r="A15" s="669"/>
      <c r="B15" s="669"/>
      <c r="C15" s="669"/>
      <c r="D15" s="669"/>
      <c r="E15" s="669"/>
      <c r="F15" s="669"/>
      <c r="G15" s="668" t="s">
        <v>140</v>
      </c>
      <c r="H15" s="75" t="s">
        <v>17</v>
      </c>
      <c r="I15" s="265" t="s">
        <v>51</v>
      </c>
      <c r="J15" s="265">
        <v>0</v>
      </c>
      <c r="K15" s="76"/>
      <c r="L15" s="667"/>
      <c r="M15" s="214" t="s">
        <v>515</v>
      </c>
      <c r="N15" s="334">
        <v>1</v>
      </c>
      <c r="O15" s="244" t="s">
        <v>513</v>
      </c>
      <c r="P15" s="244">
        <v>0</v>
      </c>
      <c r="Q15" s="244">
        <v>0</v>
      </c>
      <c r="R15" s="244">
        <v>1</v>
      </c>
      <c r="S15" s="244">
        <v>0</v>
      </c>
      <c r="T15" s="929" t="s">
        <v>343</v>
      </c>
      <c r="U15" s="268"/>
      <c r="V15" s="911"/>
      <c r="W15" s="911"/>
      <c r="X15" s="911"/>
      <c r="Y15" s="342"/>
      <c r="Z15" s="342"/>
      <c r="AA15" s="342"/>
      <c r="AB15" s="342"/>
      <c r="AC15" s="913"/>
      <c r="AD15" s="913"/>
      <c r="AE15" s="916"/>
      <c r="AF15" s="916"/>
      <c r="AG15" s="913"/>
      <c r="AH15" s="899"/>
      <c r="AI15" s="343"/>
      <c r="AJ15" s="343"/>
      <c r="AK15" s="343"/>
      <c r="AL15" s="343"/>
      <c r="AM15" s="343"/>
      <c r="AN15" s="343"/>
      <c r="AO15" s="343"/>
      <c r="AP15" s="343"/>
      <c r="AQ15" s="341" t="s">
        <v>342</v>
      </c>
      <c r="AR15" s="341" t="s">
        <v>342</v>
      </c>
      <c r="AS15" s="701"/>
    </row>
    <row r="16" spans="1:50" s="218" customFormat="1" ht="99.75" customHeight="1" thickBot="1">
      <c r="A16" s="669"/>
      <c r="B16" s="669"/>
      <c r="C16" s="669"/>
      <c r="D16" s="669"/>
      <c r="E16" s="669"/>
      <c r="F16" s="669"/>
      <c r="G16" s="669"/>
      <c r="H16" s="75"/>
      <c r="I16" s="265"/>
      <c r="J16" s="265"/>
      <c r="K16" s="76"/>
      <c r="L16" s="667"/>
      <c r="M16" s="214" t="s">
        <v>514</v>
      </c>
      <c r="N16" s="244">
        <v>100</v>
      </c>
      <c r="O16" s="378" t="s">
        <v>510</v>
      </c>
      <c r="P16" s="244">
        <v>0</v>
      </c>
      <c r="Q16" s="244">
        <v>0</v>
      </c>
      <c r="R16" s="244">
        <v>100</v>
      </c>
      <c r="S16" s="244">
        <v>0</v>
      </c>
      <c r="T16" s="930"/>
      <c r="U16" s="268"/>
      <c r="V16" s="911"/>
      <c r="W16" s="911"/>
      <c r="X16" s="911"/>
      <c r="Y16" s="342"/>
      <c r="Z16" s="342"/>
      <c r="AA16" s="342"/>
      <c r="AB16" s="342"/>
      <c r="AC16" s="913"/>
      <c r="AD16" s="913"/>
      <c r="AE16" s="916"/>
      <c r="AF16" s="916"/>
      <c r="AG16" s="913"/>
      <c r="AH16" s="899"/>
      <c r="AI16" s="343"/>
      <c r="AJ16" s="343"/>
      <c r="AK16" s="343"/>
      <c r="AL16" s="343"/>
      <c r="AM16" s="343"/>
      <c r="AN16" s="343"/>
      <c r="AO16" s="343"/>
      <c r="AP16" s="343"/>
      <c r="AQ16" s="341"/>
      <c r="AR16" s="341"/>
      <c r="AS16" s="701"/>
    </row>
    <row r="17" spans="1:45" s="218" customFormat="1" ht="99.75" customHeight="1" thickBot="1">
      <c r="A17" s="669"/>
      <c r="B17" s="669"/>
      <c r="C17" s="669"/>
      <c r="D17" s="669"/>
      <c r="E17" s="669"/>
      <c r="F17" s="669"/>
      <c r="G17" s="669"/>
      <c r="H17" s="75"/>
      <c r="I17" s="265"/>
      <c r="J17" s="265"/>
      <c r="K17" s="76"/>
      <c r="L17" s="667"/>
      <c r="M17" s="214" t="s">
        <v>516</v>
      </c>
      <c r="N17" s="244">
        <v>100</v>
      </c>
      <c r="O17" s="378" t="s">
        <v>510</v>
      </c>
      <c r="P17" s="244">
        <v>0</v>
      </c>
      <c r="Q17" s="244">
        <v>25</v>
      </c>
      <c r="R17" s="244">
        <v>75</v>
      </c>
      <c r="S17" s="244">
        <v>0</v>
      </c>
      <c r="T17" s="930"/>
      <c r="U17" s="268"/>
      <c r="V17" s="911"/>
      <c r="W17" s="911"/>
      <c r="X17" s="911"/>
      <c r="Y17" s="342"/>
      <c r="Z17" s="342"/>
      <c r="AA17" s="342"/>
      <c r="AB17" s="342"/>
      <c r="AC17" s="913"/>
      <c r="AD17" s="913"/>
      <c r="AE17" s="916"/>
      <c r="AF17" s="916"/>
      <c r="AG17" s="913"/>
      <c r="AH17" s="899"/>
      <c r="AI17" s="343"/>
      <c r="AJ17" s="343"/>
      <c r="AK17" s="343"/>
      <c r="AL17" s="343"/>
      <c r="AM17" s="343"/>
      <c r="AN17" s="343"/>
      <c r="AO17" s="343"/>
      <c r="AP17" s="343"/>
      <c r="AQ17" s="341"/>
      <c r="AR17" s="341"/>
      <c r="AS17" s="701"/>
    </row>
    <row r="18" spans="1:45" s="218" customFormat="1" ht="99.75" customHeight="1" thickBot="1">
      <c r="A18" s="669"/>
      <c r="B18" s="669"/>
      <c r="C18" s="669"/>
      <c r="D18" s="669"/>
      <c r="E18" s="669"/>
      <c r="F18" s="669"/>
      <c r="G18" s="670"/>
      <c r="H18" s="75"/>
      <c r="I18" s="265"/>
      <c r="J18" s="265"/>
      <c r="K18" s="76"/>
      <c r="L18" s="667"/>
      <c r="M18" s="214" t="s">
        <v>517</v>
      </c>
      <c r="N18" s="244">
        <v>100</v>
      </c>
      <c r="O18" s="378" t="s">
        <v>510</v>
      </c>
      <c r="P18" s="244">
        <v>0</v>
      </c>
      <c r="Q18" s="244">
        <v>50</v>
      </c>
      <c r="R18" s="244">
        <v>50</v>
      </c>
      <c r="S18" s="244"/>
      <c r="T18" s="931"/>
      <c r="U18" s="268"/>
      <c r="V18" s="911"/>
      <c r="W18" s="911"/>
      <c r="X18" s="911"/>
      <c r="Y18" s="342"/>
      <c r="Z18" s="342"/>
      <c r="AA18" s="342"/>
      <c r="AB18" s="342"/>
      <c r="AC18" s="913"/>
      <c r="AD18" s="913"/>
      <c r="AE18" s="916"/>
      <c r="AF18" s="916"/>
      <c r="AG18" s="913"/>
      <c r="AH18" s="899"/>
      <c r="AI18" s="343"/>
      <c r="AJ18" s="343"/>
      <c r="AK18" s="343"/>
      <c r="AL18" s="343"/>
      <c r="AM18" s="343"/>
      <c r="AN18" s="343"/>
      <c r="AO18" s="343"/>
      <c r="AP18" s="343"/>
      <c r="AQ18" s="341"/>
      <c r="AR18" s="341"/>
      <c r="AS18" s="701"/>
    </row>
    <row r="19" spans="1:45" s="218" customFormat="1" ht="99.75" customHeight="1" thickBot="1">
      <c r="A19" s="669"/>
      <c r="B19" s="669"/>
      <c r="C19" s="670"/>
      <c r="D19" s="670"/>
      <c r="E19" s="670"/>
      <c r="F19" s="670"/>
      <c r="G19" s="668" t="s">
        <v>141</v>
      </c>
      <c r="H19" s="75" t="s">
        <v>17</v>
      </c>
      <c r="I19" s="265" t="s">
        <v>51</v>
      </c>
      <c r="J19" s="265">
        <v>0</v>
      </c>
      <c r="K19" s="76"/>
      <c r="L19" s="674"/>
      <c r="M19" s="214" t="s">
        <v>518</v>
      </c>
      <c r="N19" s="334">
        <v>1</v>
      </c>
      <c r="O19" s="244" t="s">
        <v>513</v>
      </c>
      <c r="P19" s="244">
        <v>0</v>
      </c>
      <c r="Q19" s="244">
        <v>0</v>
      </c>
      <c r="R19" s="244">
        <v>0</v>
      </c>
      <c r="S19" s="244">
        <v>1</v>
      </c>
      <c r="T19" s="266" t="s">
        <v>343</v>
      </c>
      <c r="U19" s="268"/>
      <c r="V19" s="911"/>
      <c r="W19" s="911"/>
      <c r="X19" s="911"/>
      <c r="Y19" s="342"/>
      <c r="Z19" s="342"/>
      <c r="AA19" s="342"/>
      <c r="AB19" s="342"/>
      <c r="AC19" s="913"/>
      <c r="AD19" s="913"/>
      <c r="AE19" s="916"/>
      <c r="AF19" s="916"/>
      <c r="AG19" s="913"/>
      <c r="AH19" s="899"/>
      <c r="AI19" s="343"/>
      <c r="AJ19" s="343"/>
      <c r="AK19" s="343"/>
      <c r="AL19" s="343"/>
      <c r="AM19" s="343"/>
      <c r="AN19" s="343"/>
      <c r="AO19" s="343"/>
      <c r="AP19" s="343"/>
      <c r="AQ19" s="341" t="s">
        <v>342</v>
      </c>
      <c r="AR19" s="341" t="s">
        <v>342</v>
      </c>
      <c r="AS19" s="701"/>
    </row>
    <row r="20" spans="1:45" s="218" customFormat="1" ht="99.75" customHeight="1" thickBot="1">
      <c r="A20" s="669"/>
      <c r="B20" s="669"/>
      <c r="C20" s="244"/>
      <c r="D20" s="244"/>
      <c r="E20" s="244"/>
      <c r="F20" s="241"/>
      <c r="G20" s="669"/>
      <c r="H20" s="75"/>
      <c r="I20" s="265"/>
      <c r="J20" s="265"/>
      <c r="K20" s="216"/>
      <c r="L20" s="264"/>
      <c r="M20" s="214" t="s">
        <v>514</v>
      </c>
      <c r="N20" s="244">
        <v>100</v>
      </c>
      <c r="O20" s="378" t="s">
        <v>510</v>
      </c>
      <c r="P20" s="244">
        <v>0</v>
      </c>
      <c r="Q20" s="244">
        <v>0</v>
      </c>
      <c r="R20" s="244">
        <v>50</v>
      </c>
      <c r="S20" s="244">
        <v>50</v>
      </c>
      <c r="T20" s="266"/>
      <c r="U20" s="268"/>
      <c r="V20" s="911"/>
      <c r="W20" s="911"/>
      <c r="X20" s="911"/>
      <c r="Y20" s="342"/>
      <c r="Z20" s="342"/>
      <c r="AA20" s="342"/>
      <c r="AB20" s="342"/>
      <c r="AC20" s="913"/>
      <c r="AD20" s="913"/>
      <c r="AE20" s="916"/>
      <c r="AF20" s="916"/>
      <c r="AG20" s="913"/>
      <c r="AH20" s="899"/>
      <c r="AI20" s="343"/>
      <c r="AJ20" s="343"/>
      <c r="AK20" s="343"/>
      <c r="AL20" s="343"/>
      <c r="AM20" s="343"/>
      <c r="AN20" s="343"/>
      <c r="AO20" s="343"/>
      <c r="AP20" s="343"/>
      <c r="AQ20" s="341"/>
      <c r="AR20" s="341"/>
      <c r="AS20" s="701"/>
    </row>
    <row r="21" spans="1:45" s="218" customFormat="1" ht="99.75" customHeight="1" thickBot="1">
      <c r="A21" s="669"/>
      <c r="B21" s="669"/>
      <c r="C21" s="244"/>
      <c r="D21" s="244"/>
      <c r="E21" s="244"/>
      <c r="F21" s="241"/>
      <c r="G21" s="669"/>
      <c r="H21" s="75"/>
      <c r="I21" s="265"/>
      <c r="J21" s="265"/>
      <c r="K21" s="216"/>
      <c r="L21" s="264"/>
      <c r="M21" s="214" t="s">
        <v>519</v>
      </c>
      <c r="N21" s="244">
        <v>100</v>
      </c>
      <c r="O21" s="378" t="s">
        <v>510</v>
      </c>
      <c r="P21" s="244">
        <v>0</v>
      </c>
      <c r="Q21" s="244">
        <v>0</v>
      </c>
      <c r="R21" s="244">
        <v>50</v>
      </c>
      <c r="S21" s="244">
        <v>50</v>
      </c>
      <c r="T21" s="266"/>
      <c r="U21" s="268"/>
      <c r="V21" s="911"/>
      <c r="W21" s="911"/>
      <c r="X21" s="911"/>
      <c r="Y21" s="342"/>
      <c r="Z21" s="342"/>
      <c r="AA21" s="342"/>
      <c r="AB21" s="342"/>
      <c r="AC21" s="913"/>
      <c r="AD21" s="913"/>
      <c r="AE21" s="916"/>
      <c r="AF21" s="916"/>
      <c r="AG21" s="913"/>
      <c r="AH21" s="899"/>
      <c r="AI21" s="343"/>
      <c r="AJ21" s="343"/>
      <c r="AK21" s="343"/>
      <c r="AL21" s="343"/>
      <c r="AM21" s="343"/>
      <c r="AN21" s="343"/>
      <c r="AO21" s="343"/>
      <c r="AP21" s="343"/>
      <c r="AQ21" s="341"/>
      <c r="AR21" s="341"/>
      <c r="AS21" s="701"/>
    </row>
    <row r="22" spans="1:45" s="218" customFormat="1" ht="99.75" customHeight="1" thickBot="1">
      <c r="A22" s="669"/>
      <c r="B22" s="669"/>
      <c r="C22" s="244"/>
      <c r="D22" s="244"/>
      <c r="E22" s="244"/>
      <c r="F22" s="241"/>
      <c r="G22" s="670"/>
      <c r="H22" s="75"/>
      <c r="I22" s="265"/>
      <c r="J22" s="265"/>
      <c r="K22" s="216"/>
      <c r="L22" s="264"/>
      <c r="M22" s="214" t="s">
        <v>517</v>
      </c>
      <c r="N22" s="244">
        <v>100</v>
      </c>
      <c r="O22" s="378" t="s">
        <v>510</v>
      </c>
      <c r="P22" s="244">
        <v>0</v>
      </c>
      <c r="Q22" s="244">
        <v>0</v>
      </c>
      <c r="R22" s="244">
        <v>50</v>
      </c>
      <c r="S22" s="244">
        <v>50</v>
      </c>
      <c r="T22" s="266"/>
      <c r="U22" s="268"/>
      <c r="V22" s="911"/>
      <c r="W22" s="911"/>
      <c r="X22" s="911"/>
      <c r="Y22" s="342"/>
      <c r="Z22" s="342"/>
      <c r="AA22" s="342"/>
      <c r="AB22" s="342"/>
      <c r="AC22" s="913"/>
      <c r="AD22" s="913"/>
      <c r="AE22" s="916"/>
      <c r="AF22" s="916"/>
      <c r="AG22" s="913"/>
      <c r="AH22" s="899"/>
      <c r="AI22" s="343"/>
      <c r="AJ22" s="343"/>
      <c r="AK22" s="343"/>
      <c r="AL22" s="343"/>
      <c r="AM22" s="343"/>
      <c r="AN22" s="343"/>
      <c r="AO22" s="343"/>
      <c r="AP22" s="343"/>
      <c r="AQ22" s="341"/>
      <c r="AR22" s="341"/>
      <c r="AS22" s="701"/>
    </row>
    <row r="23" spans="1:45" s="218" customFormat="1" ht="99.75" customHeight="1" thickBot="1">
      <c r="A23" s="669"/>
      <c r="B23" s="669"/>
      <c r="C23" s="244"/>
      <c r="D23" s="244"/>
      <c r="E23" s="244"/>
      <c r="F23" s="241"/>
      <c r="G23" s="668" t="s">
        <v>144</v>
      </c>
      <c r="H23" s="75"/>
      <c r="I23" s="265"/>
      <c r="J23" s="265"/>
      <c r="K23" s="216"/>
      <c r="L23" s="264"/>
      <c r="M23" s="214" t="s">
        <v>557</v>
      </c>
      <c r="N23" s="244">
        <v>100</v>
      </c>
      <c r="O23" s="378" t="s">
        <v>510</v>
      </c>
      <c r="P23" s="244">
        <v>25</v>
      </c>
      <c r="Q23" s="244">
        <v>25</v>
      </c>
      <c r="R23" s="244">
        <v>25</v>
      </c>
      <c r="S23" s="244">
        <v>25</v>
      </c>
      <c r="T23" s="266"/>
      <c r="U23" s="268"/>
      <c r="V23" s="911"/>
      <c r="W23" s="911"/>
      <c r="X23" s="911"/>
      <c r="Y23" s="342"/>
      <c r="Z23" s="342"/>
      <c r="AA23" s="342"/>
      <c r="AB23" s="342"/>
      <c r="AC23" s="913"/>
      <c r="AD23" s="913"/>
      <c r="AE23" s="916"/>
      <c r="AF23" s="916"/>
      <c r="AG23" s="913"/>
      <c r="AH23" s="899"/>
      <c r="AI23" s="343"/>
      <c r="AJ23" s="343"/>
      <c r="AK23" s="343"/>
      <c r="AL23" s="343"/>
      <c r="AM23" s="343"/>
      <c r="AN23" s="343"/>
      <c r="AO23" s="343"/>
      <c r="AP23" s="343"/>
      <c r="AQ23" s="341"/>
      <c r="AR23" s="341"/>
      <c r="AS23" s="701"/>
    </row>
    <row r="24" spans="1:45" s="218" customFormat="1" ht="156.75" customHeight="1" thickBot="1">
      <c r="A24" s="669"/>
      <c r="B24" s="669"/>
      <c r="C24" s="77" t="s">
        <v>136</v>
      </c>
      <c r="D24" s="245" t="s">
        <v>53</v>
      </c>
      <c r="E24" s="245">
        <v>100</v>
      </c>
      <c r="F24" s="668" t="s">
        <v>143</v>
      </c>
      <c r="G24" s="669"/>
      <c r="H24" s="222" t="s">
        <v>18</v>
      </c>
      <c r="I24" s="223">
        <v>95</v>
      </c>
      <c r="J24" s="223">
        <v>95</v>
      </c>
      <c r="K24" s="666"/>
      <c r="L24" s="668" t="s">
        <v>156</v>
      </c>
      <c r="M24" s="224" t="s">
        <v>520</v>
      </c>
      <c r="N24" s="245">
        <v>100</v>
      </c>
      <c r="O24" s="379" t="s">
        <v>510</v>
      </c>
      <c r="P24" s="245">
        <v>25</v>
      </c>
      <c r="Q24" s="245">
        <v>25</v>
      </c>
      <c r="R24" s="245">
        <v>25</v>
      </c>
      <c r="S24" s="245">
        <v>25</v>
      </c>
      <c r="T24" s="266" t="s">
        <v>343</v>
      </c>
      <c r="U24" s="79"/>
      <c r="V24" s="911"/>
      <c r="W24" s="911"/>
      <c r="X24" s="911"/>
      <c r="Y24" s="342"/>
      <c r="Z24" s="342"/>
      <c r="AA24" s="342"/>
      <c r="AB24" s="342"/>
      <c r="AC24" s="913"/>
      <c r="AD24" s="913"/>
      <c r="AE24" s="916"/>
      <c r="AF24" s="916"/>
      <c r="AG24" s="913"/>
      <c r="AH24" s="899"/>
      <c r="AI24" s="343"/>
      <c r="AJ24" s="343"/>
      <c r="AK24" s="343"/>
      <c r="AL24" s="343"/>
      <c r="AM24" s="343"/>
      <c r="AN24" s="343"/>
      <c r="AO24" s="343"/>
      <c r="AP24" s="343"/>
      <c r="AQ24" s="341" t="s">
        <v>342</v>
      </c>
      <c r="AR24" s="341" t="s">
        <v>342</v>
      </c>
      <c r="AS24" s="701"/>
    </row>
    <row r="25" spans="1:45" s="218" customFormat="1" ht="156.75" customHeight="1" thickBot="1">
      <c r="A25" s="669"/>
      <c r="B25" s="669"/>
      <c r="C25" s="217"/>
      <c r="D25" s="240"/>
      <c r="E25" s="240"/>
      <c r="F25" s="669"/>
      <c r="G25" s="670"/>
      <c r="H25" s="222"/>
      <c r="I25" s="223"/>
      <c r="J25" s="223"/>
      <c r="K25" s="667"/>
      <c r="L25" s="669"/>
      <c r="M25" s="224" t="s">
        <v>521</v>
      </c>
      <c r="N25" s="278">
        <v>1</v>
      </c>
      <c r="O25" s="245" t="s">
        <v>513</v>
      </c>
      <c r="P25" s="245">
        <v>1</v>
      </c>
      <c r="Q25" s="245">
        <v>0</v>
      </c>
      <c r="R25" s="245">
        <v>0</v>
      </c>
      <c r="S25" s="245">
        <v>0</v>
      </c>
      <c r="T25" s="266"/>
      <c r="U25" s="79"/>
      <c r="V25" s="911"/>
      <c r="W25" s="911"/>
      <c r="X25" s="911"/>
      <c r="Y25" s="342"/>
      <c r="Z25" s="342"/>
      <c r="AA25" s="342"/>
      <c r="AB25" s="342"/>
      <c r="AC25" s="913"/>
      <c r="AD25" s="913"/>
      <c r="AE25" s="916"/>
      <c r="AF25" s="916"/>
      <c r="AG25" s="913"/>
      <c r="AH25" s="899"/>
      <c r="AI25" s="343"/>
      <c r="AJ25" s="343"/>
      <c r="AK25" s="343"/>
      <c r="AL25" s="343"/>
      <c r="AM25" s="343"/>
      <c r="AN25" s="343"/>
      <c r="AO25" s="343"/>
      <c r="AP25" s="343"/>
      <c r="AQ25" s="341"/>
      <c r="AR25" s="341"/>
      <c r="AS25" s="701"/>
    </row>
    <row r="26" spans="1:45" s="218" customFormat="1" ht="156.75" customHeight="1" thickBot="1">
      <c r="A26" s="669"/>
      <c r="B26" s="669"/>
      <c r="C26" s="217"/>
      <c r="D26" s="240"/>
      <c r="E26" s="240"/>
      <c r="F26" s="669"/>
      <c r="G26" s="668" t="s">
        <v>145</v>
      </c>
      <c r="H26" s="222"/>
      <c r="I26" s="223"/>
      <c r="J26" s="223"/>
      <c r="K26" s="667"/>
      <c r="L26" s="669"/>
      <c r="M26" s="224" t="s">
        <v>522</v>
      </c>
      <c r="N26" s="245">
        <v>100</v>
      </c>
      <c r="O26" s="379" t="s">
        <v>358</v>
      </c>
      <c r="P26" s="245">
        <v>50</v>
      </c>
      <c r="Q26" s="245">
        <v>25</v>
      </c>
      <c r="R26" s="245">
        <v>25</v>
      </c>
      <c r="S26" s="245">
        <v>0</v>
      </c>
      <c r="T26" s="266"/>
      <c r="U26" s="79"/>
      <c r="V26" s="911"/>
      <c r="W26" s="911"/>
      <c r="X26" s="911"/>
      <c r="Y26" s="342"/>
      <c r="Z26" s="342"/>
      <c r="AA26" s="342"/>
      <c r="AB26" s="342"/>
      <c r="AC26" s="913"/>
      <c r="AD26" s="913"/>
      <c r="AE26" s="916"/>
      <c r="AF26" s="916"/>
      <c r="AG26" s="913"/>
      <c r="AH26" s="899"/>
      <c r="AI26" s="343"/>
      <c r="AJ26" s="343"/>
      <c r="AK26" s="343"/>
      <c r="AL26" s="343"/>
      <c r="AM26" s="343"/>
      <c r="AN26" s="343"/>
      <c r="AO26" s="343"/>
      <c r="AP26" s="343"/>
      <c r="AQ26" s="341"/>
      <c r="AR26" s="341"/>
      <c r="AS26" s="701"/>
    </row>
    <row r="27" spans="1:45" s="218" customFormat="1" ht="156.75" customHeight="1" thickBot="1">
      <c r="A27" s="669"/>
      <c r="B27" s="669"/>
      <c r="C27" s="668" t="s">
        <v>315</v>
      </c>
      <c r="D27" s="668" t="s">
        <v>17</v>
      </c>
      <c r="E27" s="668">
        <v>9</v>
      </c>
      <c r="F27" s="669"/>
      <c r="G27" s="670"/>
      <c r="H27" s="222" t="s">
        <v>86</v>
      </c>
      <c r="I27" s="223">
        <v>9.57</v>
      </c>
      <c r="J27" s="223">
        <v>9.57</v>
      </c>
      <c r="K27" s="667"/>
      <c r="L27" s="669"/>
      <c r="M27" s="224" t="s">
        <v>523</v>
      </c>
      <c r="N27" s="245">
        <v>100</v>
      </c>
      <c r="O27" s="379" t="s">
        <v>358</v>
      </c>
      <c r="P27" s="245">
        <v>25</v>
      </c>
      <c r="Q27" s="245">
        <v>25</v>
      </c>
      <c r="R27" s="245">
        <v>25</v>
      </c>
      <c r="S27" s="245">
        <v>25</v>
      </c>
      <c r="T27" s="266" t="s">
        <v>343</v>
      </c>
      <c r="U27" s="79"/>
      <c r="V27" s="911"/>
      <c r="W27" s="911"/>
      <c r="X27" s="911"/>
      <c r="Y27" s="342"/>
      <c r="Z27" s="342"/>
      <c r="AA27" s="342"/>
      <c r="AB27" s="342"/>
      <c r="AC27" s="913"/>
      <c r="AD27" s="913"/>
      <c r="AE27" s="916"/>
      <c r="AF27" s="916"/>
      <c r="AG27" s="913"/>
      <c r="AH27" s="899"/>
      <c r="AI27" s="343"/>
      <c r="AJ27" s="343"/>
      <c r="AK27" s="343"/>
      <c r="AL27" s="343"/>
      <c r="AM27" s="343"/>
      <c r="AN27" s="343"/>
      <c r="AO27" s="343"/>
      <c r="AP27" s="343"/>
      <c r="AQ27" s="341" t="s">
        <v>342</v>
      </c>
      <c r="AR27" s="341" t="s">
        <v>342</v>
      </c>
      <c r="AS27" s="701"/>
    </row>
    <row r="28" spans="1:45" s="218" customFormat="1" ht="156.75" customHeight="1" thickBot="1">
      <c r="A28" s="669"/>
      <c r="B28" s="669"/>
      <c r="C28" s="669"/>
      <c r="D28" s="669"/>
      <c r="E28" s="669"/>
      <c r="F28" s="669"/>
      <c r="G28" s="668" t="s">
        <v>146</v>
      </c>
      <c r="H28" s="222"/>
      <c r="I28" s="223"/>
      <c r="J28" s="223"/>
      <c r="K28" s="667"/>
      <c r="L28" s="669"/>
      <c r="M28" s="224" t="s">
        <v>524</v>
      </c>
      <c r="N28" s="278">
        <v>2</v>
      </c>
      <c r="O28" s="245" t="s">
        <v>513</v>
      </c>
      <c r="P28" s="245">
        <v>1</v>
      </c>
      <c r="Q28" s="245">
        <v>1</v>
      </c>
      <c r="R28" s="245">
        <v>0</v>
      </c>
      <c r="S28" s="245">
        <v>0</v>
      </c>
      <c r="T28" s="266"/>
      <c r="U28" s="79"/>
      <c r="V28" s="911"/>
      <c r="W28" s="911"/>
      <c r="X28" s="911"/>
      <c r="Y28" s="342"/>
      <c r="Z28" s="342"/>
      <c r="AA28" s="342"/>
      <c r="AB28" s="342"/>
      <c r="AC28" s="913"/>
      <c r="AD28" s="913"/>
      <c r="AE28" s="916"/>
      <c r="AF28" s="916"/>
      <c r="AG28" s="913"/>
      <c r="AH28" s="899"/>
      <c r="AI28" s="343"/>
      <c r="AJ28" s="343"/>
      <c r="AK28" s="343"/>
      <c r="AL28" s="343"/>
      <c r="AM28" s="343"/>
      <c r="AN28" s="343"/>
      <c r="AO28" s="343"/>
      <c r="AP28" s="343"/>
      <c r="AQ28" s="341"/>
      <c r="AR28" s="341"/>
      <c r="AS28" s="701"/>
    </row>
    <row r="29" spans="1:45" s="218" customFormat="1" ht="156.75" customHeight="1" thickBot="1">
      <c r="A29" s="669"/>
      <c r="B29" s="669"/>
      <c r="C29" s="669"/>
      <c r="D29" s="669"/>
      <c r="E29" s="669"/>
      <c r="F29" s="669"/>
      <c r="G29" s="669"/>
      <c r="H29" s="222"/>
      <c r="I29" s="223"/>
      <c r="J29" s="223"/>
      <c r="K29" s="667"/>
      <c r="L29" s="669"/>
      <c r="M29" s="224" t="s">
        <v>525</v>
      </c>
      <c r="N29" s="245">
        <v>100</v>
      </c>
      <c r="O29" s="379" t="s">
        <v>510</v>
      </c>
      <c r="P29" s="245">
        <v>25</v>
      </c>
      <c r="Q29" s="245">
        <v>25</v>
      </c>
      <c r="R29" s="245">
        <v>25</v>
      </c>
      <c r="S29" s="245">
        <v>25</v>
      </c>
      <c r="T29" s="266"/>
      <c r="U29" s="79"/>
      <c r="V29" s="911"/>
      <c r="W29" s="911"/>
      <c r="X29" s="911"/>
      <c r="Y29" s="342"/>
      <c r="Z29" s="342"/>
      <c r="AA29" s="342"/>
      <c r="AB29" s="342"/>
      <c r="AC29" s="913"/>
      <c r="AD29" s="913"/>
      <c r="AE29" s="916"/>
      <c r="AF29" s="916"/>
      <c r="AG29" s="913"/>
      <c r="AH29" s="899"/>
      <c r="AI29" s="343"/>
      <c r="AJ29" s="343"/>
      <c r="AK29" s="343"/>
      <c r="AL29" s="343"/>
      <c r="AM29" s="343"/>
      <c r="AN29" s="343"/>
      <c r="AO29" s="343"/>
      <c r="AP29" s="343"/>
      <c r="AQ29" s="341"/>
      <c r="AR29" s="341"/>
      <c r="AS29" s="701"/>
    </row>
    <row r="30" spans="1:45" s="218" customFormat="1" ht="156.75" customHeight="1" thickBot="1">
      <c r="A30" s="669"/>
      <c r="B30" s="669"/>
      <c r="C30" s="669"/>
      <c r="D30" s="669"/>
      <c r="E30" s="669"/>
      <c r="F30" s="669"/>
      <c r="G30" s="670"/>
      <c r="H30" s="222" t="s">
        <v>86</v>
      </c>
      <c r="I30" s="223">
        <v>10.9</v>
      </c>
      <c r="J30" s="223">
        <v>10</v>
      </c>
      <c r="K30" s="667"/>
      <c r="L30" s="669"/>
      <c r="M30" s="224" t="s">
        <v>526</v>
      </c>
      <c r="N30" s="245">
        <v>100</v>
      </c>
      <c r="O30" s="379" t="s">
        <v>510</v>
      </c>
      <c r="P30" s="245">
        <v>25</v>
      </c>
      <c r="Q30" s="245">
        <v>25</v>
      </c>
      <c r="R30" s="245">
        <v>25</v>
      </c>
      <c r="S30" s="245">
        <v>25</v>
      </c>
      <c r="T30" s="266" t="s">
        <v>343</v>
      </c>
      <c r="U30" s="79"/>
      <c r="V30" s="911"/>
      <c r="W30" s="911"/>
      <c r="X30" s="911"/>
      <c r="Y30" s="342"/>
      <c r="Z30" s="342"/>
      <c r="AA30" s="342"/>
      <c r="AB30" s="342"/>
      <c r="AC30" s="913"/>
      <c r="AD30" s="913"/>
      <c r="AE30" s="916"/>
      <c r="AF30" s="916"/>
      <c r="AG30" s="913"/>
      <c r="AH30" s="899"/>
      <c r="AI30" s="343"/>
      <c r="AJ30" s="343"/>
      <c r="AK30" s="343"/>
      <c r="AL30" s="343"/>
      <c r="AM30" s="343"/>
      <c r="AN30" s="343"/>
      <c r="AO30" s="343"/>
      <c r="AP30" s="343"/>
      <c r="AQ30" s="341" t="s">
        <v>342</v>
      </c>
      <c r="AR30" s="341" t="s">
        <v>342</v>
      </c>
      <c r="AS30" s="701"/>
    </row>
    <row r="31" spans="1:45" s="218" customFormat="1" ht="156.75" customHeight="1" thickBot="1">
      <c r="A31" s="669"/>
      <c r="B31" s="669"/>
      <c r="C31" s="669"/>
      <c r="D31" s="669"/>
      <c r="E31" s="669"/>
      <c r="F31" s="669"/>
      <c r="G31" s="668" t="s">
        <v>147</v>
      </c>
      <c r="H31" s="222"/>
      <c r="I31" s="223"/>
      <c r="J31" s="223"/>
      <c r="K31" s="667"/>
      <c r="L31" s="669"/>
      <c r="M31" s="224" t="s">
        <v>527</v>
      </c>
      <c r="N31" s="278">
        <v>1</v>
      </c>
      <c r="O31" s="245" t="s">
        <v>513</v>
      </c>
      <c r="P31" s="245">
        <v>1</v>
      </c>
      <c r="Q31" s="245">
        <v>0</v>
      </c>
      <c r="R31" s="245">
        <v>0</v>
      </c>
      <c r="S31" s="245">
        <v>0</v>
      </c>
      <c r="T31" s="266"/>
      <c r="U31" s="79"/>
      <c r="V31" s="911"/>
      <c r="W31" s="911"/>
      <c r="X31" s="911"/>
      <c r="Y31" s="342"/>
      <c r="Z31" s="342"/>
      <c r="AA31" s="342"/>
      <c r="AB31" s="342"/>
      <c r="AC31" s="914"/>
      <c r="AD31" s="914"/>
      <c r="AE31" s="917"/>
      <c r="AF31" s="917"/>
      <c r="AG31" s="914"/>
      <c r="AH31" s="900"/>
      <c r="AI31" s="343"/>
      <c r="AJ31" s="343"/>
      <c r="AK31" s="343"/>
      <c r="AL31" s="343"/>
      <c r="AM31" s="343"/>
      <c r="AN31" s="343"/>
      <c r="AO31" s="343"/>
      <c r="AP31" s="343"/>
      <c r="AQ31" s="341"/>
      <c r="AR31" s="341"/>
      <c r="AS31" s="701"/>
    </row>
    <row r="32" spans="1:45" s="218" customFormat="1" ht="156.75" customHeight="1" thickBot="1">
      <c r="A32" s="669"/>
      <c r="B32" s="669"/>
      <c r="C32" s="669"/>
      <c r="D32" s="669"/>
      <c r="E32" s="669"/>
      <c r="F32" s="669"/>
      <c r="G32" s="669"/>
      <c r="H32" s="222"/>
      <c r="I32" s="223"/>
      <c r="J32" s="223"/>
      <c r="K32" s="667"/>
      <c r="L32" s="669"/>
      <c r="M32" s="224" t="s">
        <v>528</v>
      </c>
      <c r="N32" s="245">
        <v>100</v>
      </c>
      <c r="O32" s="379" t="s">
        <v>510</v>
      </c>
      <c r="P32" s="245">
        <v>25</v>
      </c>
      <c r="Q32" s="245">
        <v>25</v>
      </c>
      <c r="R32" s="245">
        <v>25</v>
      </c>
      <c r="S32" s="245">
        <v>25</v>
      </c>
      <c r="T32" s="266"/>
      <c r="U32" s="79"/>
      <c r="V32" s="911">
        <f>28346272942-400000000</f>
        <v>27946272942</v>
      </c>
      <c r="W32" s="911">
        <f>1535000000-500000000+1362586365</f>
        <v>2397586365</v>
      </c>
      <c r="X32" s="911">
        <f>+V32+W32</f>
        <v>30343859307</v>
      </c>
      <c r="Y32" s="342"/>
      <c r="Z32" s="342"/>
      <c r="AA32" s="342"/>
      <c r="AB32" s="342"/>
      <c r="AC32" s="912">
        <v>9268041198</v>
      </c>
      <c r="AD32" s="912">
        <v>3097137945</v>
      </c>
      <c r="AE32" s="915"/>
      <c r="AF32" s="915"/>
      <c r="AG32" s="912">
        <f>+AC32+AD32+AE32+AF32</f>
        <v>12365179143</v>
      </c>
      <c r="AH32" s="898">
        <f t="shared" si="1"/>
        <v>0.40750186118044274</v>
      </c>
      <c r="AI32" s="343"/>
      <c r="AJ32" s="343"/>
      <c r="AK32" s="343"/>
      <c r="AL32" s="343"/>
      <c r="AM32" s="343"/>
      <c r="AN32" s="343"/>
      <c r="AO32" s="343"/>
      <c r="AP32" s="343"/>
      <c r="AQ32" s="341"/>
      <c r="AR32" s="341"/>
      <c r="AS32" s="701"/>
    </row>
    <row r="33" spans="1:45" s="218" customFormat="1" ht="156.75" customHeight="1" thickBot="1">
      <c r="A33" s="669"/>
      <c r="B33" s="669"/>
      <c r="C33" s="669"/>
      <c r="D33" s="669"/>
      <c r="E33" s="669"/>
      <c r="F33" s="669"/>
      <c r="G33" s="670"/>
      <c r="H33" s="222" t="s">
        <v>86</v>
      </c>
      <c r="I33" s="223">
        <v>13.2</v>
      </c>
      <c r="J33" s="223">
        <v>12</v>
      </c>
      <c r="K33" s="667"/>
      <c r="L33" s="669"/>
      <c r="M33" s="224" t="s">
        <v>526</v>
      </c>
      <c r="N33" s="245">
        <v>100</v>
      </c>
      <c r="O33" s="379" t="s">
        <v>358</v>
      </c>
      <c r="P33" s="245">
        <v>25</v>
      </c>
      <c r="Q33" s="245">
        <v>25</v>
      </c>
      <c r="R33" s="245">
        <v>25</v>
      </c>
      <c r="S33" s="245">
        <v>25</v>
      </c>
      <c r="T33" s="266" t="s">
        <v>343</v>
      </c>
      <c r="U33" s="79"/>
      <c r="V33" s="911"/>
      <c r="W33" s="911"/>
      <c r="X33" s="911"/>
      <c r="Y33" s="342"/>
      <c r="Z33" s="342"/>
      <c r="AA33" s="342"/>
      <c r="AB33" s="342"/>
      <c r="AC33" s="913"/>
      <c r="AD33" s="913"/>
      <c r="AE33" s="916"/>
      <c r="AF33" s="916"/>
      <c r="AG33" s="913"/>
      <c r="AH33" s="899"/>
      <c r="AI33" s="343"/>
      <c r="AJ33" s="343"/>
      <c r="AK33" s="343"/>
      <c r="AL33" s="343"/>
      <c r="AM33" s="343"/>
      <c r="AN33" s="343"/>
      <c r="AO33" s="343"/>
      <c r="AP33" s="343"/>
      <c r="AQ33" s="341" t="s">
        <v>342</v>
      </c>
      <c r="AR33" s="341" t="s">
        <v>342</v>
      </c>
      <c r="AS33" s="701"/>
    </row>
    <row r="34" spans="1:45" s="218" customFormat="1" ht="156.75" customHeight="1" thickBot="1">
      <c r="A34" s="669"/>
      <c r="B34" s="669"/>
      <c r="C34" s="669"/>
      <c r="D34" s="669"/>
      <c r="E34" s="669"/>
      <c r="F34" s="669"/>
      <c r="G34" s="668" t="s">
        <v>148</v>
      </c>
      <c r="H34" s="222"/>
      <c r="I34" s="223"/>
      <c r="J34" s="223"/>
      <c r="K34" s="667"/>
      <c r="L34" s="669"/>
      <c r="M34" s="224" t="s">
        <v>527</v>
      </c>
      <c r="N34" s="278">
        <v>1</v>
      </c>
      <c r="O34" s="245" t="s">
        <v>529</v>
      </c>
      <c r="P34" s="245">
        <v>1</v>
      </c>
      <c r="Q34" s="245">
        <v>0</v>
      </c>
      <c r="R34" s="245">
        <v>0</v>
      </c>
      <c r="S34" s="245">
        <v>0</v>
      </c>
      <c r="T34" s="266"/>
      <c r="U34" s="79"/>
      <c r="V34" s="911"/>
      <c r="W34" s="911"/>
      <c r="X34" s="911"/>
      <c r="Y34" s="342"/>
      <c r="Z34" s="342"/>
      <c r="AA34" s="342"/>
      <c r="AB34" s="342"/>
      <c r="AC34" s="913"/>
      <c r="AD34" s="913"/>
      <c r="AE34" s="916"/>
      <c r="AF34" s="916"/>
      <c r="AG34" s="913"/>
      <c r="AH34" s="899"/>
      <c r="AI34" s="343"/>
      <c r="AJ34" s="343"/>
      <c r="AK34" s="343"/>
      <c r="AL34" s="343"/>
      <c r="AM34" s="343"/>
      <c r="AN34" s="343"/>
      <c r="AO34" s="343"/>
      <c r="AP34" s="343"/>
      <c r="AQ34" s="341"/>
      <c r="AR34" s="341"/>
      <c r="AS34" s="701"/>
    </row>
    <row r="35" spans="1:45" s="218" customFormat="1" ht="156.75" customHeight="1" thickBot="1">
      <c r="A35" s="669"/>
      <c r="B35" s="669"/>
      <c r="C35" s="669"/>
      <c r="D35" s="669"/>
      <c r="E35" s="669"/>
      <c r="F35" s="669"/>
      <c r="G35" s="669"/>
      <c r="H35" s="222"/>
      <c r="I35" s="223"/>
      <c r="J35" s="223"/>
      <c r="K35" s="667"/>
      <c r="L35" s="669"/>
      <c r="M35" s="224" t="s">
        <v>530</v>
      </c>
      <c r="N35" s="245">
        <v>100</v>
      </c>
      <c r="O35" s="379" t="s">
        <v>358</v>
      </c>
      <c r="P35" s="245">
        <v>25</v>
      </c>
      <c r="Q35" s="245">
        <v>25</v>
      </c>
      <c r="R35" s="245">
        <v>25</v>
      </c>
      <c r="S35" s="245">
        <v>25</v>
      </c>
      <c r="T35" s="266"/>
      <c r="U35" s="79"/>
      <c r="V35" s="911"/>
      <c r="W35" s="911"/>
      <c r="X35" s="911"/>
      <c r="Y35" s="342"/>
      <c r="Z35" s="342"/>
      <c r="AA35" s="342"/>
      <c r="AB35" s="342"/>
      <c r="AC35" s="913"/>
      <c r="AD35" s="913"/>
      <c r="AE35" s="916"/>
      <c r="AF35" s="916"/>
      <c r="AG35" s="913"/>
      <c r="AH35" s="899"/>
      <c r="AI35" s="343"/>
      <c r="AJ35" s="343"/>
      <c r="AK35" s="343"/>
      <c r="AL35" s="343"/>
      <c r="AM35" s="343"/>
      <c r="AN35" s="343"/>
      <c r="AO35" s="343"/>
      <c r="AP35" s="343"/>
      <c r="AQ35" s="341"/>
      <c r="AR35" s="341"/>
      <c r="AS35" s="701"/>
    </row>
    <row r="36" spans="1:45" s="218" customFormat="1" ht="156.75" customHeight="1" thickBot="1">
      <c r="A36" s="669"/>
      <c r="B36" s="669"/>
      <c r="C36" s="669"/>
      <c r="D36" s="669"/>
      <c r="E36" s="669"/>
      <c r="F36" s="669"/>
      <c r="G36" s="670"/>
      <c r="H36" s="222" t="s">
        <v>86</v>
      </c>
      <c r="I36" s="223">
        <v>15</v>
      </c>
      <c r="J36" s="223">
        <v>15</v>
      </c>
      <c r="K36" s="667"/>
      <c r="L36" s="669"/>
      <c r="M36" s="224" t="s">
        <v>531</v>
      </c>
      <c r="N36" s="245">
        <v>100</v>
      </c>
      <c r="O36" s="379" t="s">
        <v>358</v>
      </c>
      <c r="P36" s="245">
        <v>25</v>
      </c>
      <c r="Q36" s="245">
        <v>25</v>
      </c>
      <c r="R36" s="245">
        <v>25</v>
      </c>
      <c r="S36" s="245">
        <v>25</v>
      </c>
      <c r="T36" s="266" t="s">
        <v>343</v>
      </c>
      <c r="U36" s="79"/>
      <c r="V36" s="911"/>
      <c r="W36" s="911"/>
      <c r="X36" s="911"/>
      <c r="Y36" s="342"/>
      <c r="Z36" s="342"/>
      <c r="AA36" s="342"/>
      <c r="AB36" s="342"/>
      <c r="AC36" s="913"/>
      <c r="AD36" s="913"/>
      <c r="AE36" s="916"/>
      <c r="AF36" s="916"/>
      <c r="AG36" s="913"/>
      <c r="AH36" s="899"/>
      <c r="AI36" s="343"/>
      <c r="AJ36" s="343"/>
      <c r="AK36" s="343"/>
      <c r="AL36" s="343"/>
      <c r="AM36" s="343"/>
      <c r="AN36" s="343"/>
      <c r="AO36" s="343"/>
      <c r="AP36" s="343"/>
      <c r="AQ36" s="341" t="s">
        <v>342</v>
      </c>
      <c r="AR36" s="341" t="s">
        <v>342</v>
      </c>
      <c r="AS36" s="701"/>
    </row>
    <row r="37" spans="1:45" s="218" customFormat="1" ht="156.75" customHeight="1" thickBot="1">
      <c r="A37" s="669"/>
      <c r="B37" s="669"/>
      <c r="C37" s="669"/>
      <c r="D37" s="669"/>
      <c r="E37" s="669"/>
      <c r="F37" s="669"/>
      <c r="G37" s="668" t="s">
        <v>149</v>
      </c>
      <c r="H37" s="222" t="s">
        <v>150</v>
      </c>
      <c r="I37" s="223">
        <v>21</v>
      </c>
      <c r="J37" s="223">
        <v>21</v>
      </c>
      <c r="K37" s="667"/>
      <c r="L37" s="669"/>
      <c r="M37" s="224" t="s">
        <v>532</v>
      </c>
      <c r="N37" s="245">
        <v>100</v>
      </c>
      <c r="O37" s="379" t="s">
        <v>358</v>
      </c>
      <c r="P37" s="245">
        <v>25</v>
      </c>
      <c r="Q37" s="245">
        <v>25</v>
      </c>
      <c r="R37" s="245">
        <v>25</v>
      </c>
      <c r="S37" s="245">
        <v>25</v>
      </c>
      <c r="T37" s="266" t="s">
        <v>343</v>
      </c>
      <c r="U37" s="79"/>
      <c r="V37" s="911"/>
      <c r="W37" s="911"/>
      <c r="X37" s="911"/>
      <c r="Y37" s="342"/>
      <c r="Z37" s="342"/>
      <c r="AA37" s="342"/>
      <c r="AB37" s="342"/>
      <c r="AC37" s="913"/>
      <c r="AD37" s="913"/>
      <c r="AE37" s="916"/>
      <c r="AF37" s="916"/>
      <c r="AG37" s="913"/>
      <c r="AH37" s="899"/>
      <c r="AI37" s="343"/>
      <c r="AJ37" s="343"/>
      <c r="AK37" s="343"/>
      <c r="AL37" s="343"/>
      <c r="AM37" s="343"/>
      <c r="AN37" s="343"/>
      <c r="AO37" s="343"/>
      <c r="AP37" s="343"/>
      <c r="AQ37" s="341" t="s">
        <v>342</v>
      </c>
      <c r="AR37" s="341" t="s">
        <v>342</v>
      </c>
      <c r="AS37" s="701"/>
    </row>
    <row r="38" spans="1:45" s="218" customFormat="1" ht="156.75" customHeight="1" thickBot="1">
      <c r="A38" s="669"/>
      <c r="B38" s="669"/>
      <c r="C38" s="669"/>
      <c r="D38" s="669"/>
      <c r="E38" s="669"/>
      <c r="F38" s="669"/>
      <c r="G38" s="669"/>
      <c r="H38" s="222"/>
      <c r="I38" s="223"/>
      <c r="J38" s="223"/>
      <c r="K38" s="667"/>
      <c r="L38" s="669"/>
      <c r="M38" s="224" t="s">
        <v>533</v>
      </c>
      <c r="N38" s="245">
        <v>100</v>
      </c>
      <c r="O38" s="379" t="s">
        <v>358</v>
      </c>
      <c r="P38" s="245">
        <v>25</v>
      </c>
      <c r="Q38" s="245">
        <v>25</v>
      </c>
      <c r="R38" s="245">
        <v>25</v>
      </c>
      <c r="S38" s="245">
        <v>25</v>
      </c>
      <c r="T38" s="266"/>
      <c r="U38" s="79"/>
      <c r="V38" s="911"/>
      <c r="W38" s="911"/>
      <c r="X38" s="911"/>
      <c r="Y38" s="342"/>
      <c r="Z38" s="342"/>
      <c r="AA38" s="342"/>
      <c r="AB38" s="342"/>
      <c r="AC38" s="913"/>
      <c r="AD38" s="913"/>
      <c r="AE38" s="916"/>
      <c r="AF38" s="916"/>
      <c r="AG38" s="913"/>
      <c r="AH38" s="899"/>
      <c r="AI38" s="343"/>
      <c r="AJ38" s="343"/>
      <c r="AK38" s="343"/>
      <c r="AL38" s="343"/>
      <c r="AM38" s="343"/>
      <c r="AN38" s="343"/>
      <c r="AO38" s="343"/>
      <c r="AP38" s="343"/>
      <c r="AQ38" s="341"/>
      <c r="AR38" s="341"/>
      <c r="AS38" s="701"/>
    </row>
    <row r="39" spans="1:45" s="218" customFormat="1" ht="156.75" customHeight="1" thickBot="1">
      <c r="A39" s="669"/>
      <c r="B39" s="669"/>
      <c r="C39" s="669"/>
      <c r="D39" s="669"/>
      <c r="E39" s="669"/>
      <c r="F39" s="669"/>
      <c r="G39" s="670"/>
      <c r="H39" s="222"/>
      <c r="I39" s="223"/>
      <c r="J39" s="223"/>
      <c r="K39" s="667"/>
      <c r="L39" s="669"/>
      <c r="M39" s="224" t="s">
        <v>534</v>
      </c>
      <c r="N39" s="245">
        <v>100</v>
      </c>
      <c r="O39" s="379" t="s">
        <v>358</v>
      </c>
      <c r="P39" s="245">
        <v>25</v>
      </c>
      <c r="Q39" s="245">
        <v>25</v>
      </c>
      <c r="R39" s="245">
        <v>25</v>
      </c>
      <c r="S39" s="245">
        <v>25</v>
      </c>
      <c r="T39" s="266"/>
      <c r="U39" s="79"/>
      <c r="V39" s="911"/>
      <c r="W39" s="911"/>
      <c r="X39" s="911"/>
      <c r="Y39" s="342"/>
      <c r="Z39" s="342"/>
      <c r="AA39" s="342"/>
      <c r="AB39" s="342"/>
      <c r="AC39" s="913"/>
      <c r="AD39" s="913"/>
      <c r="AE39" s="916"/>
      <c r="AF39" s="916"/>
      <c r="AG39" s="913"/>
      <c r="AH39" s="899"/>
      <c r="AI39" s="343"/>
      <c r="AJ39" s="343"/>
      <c r="AK39" s="343"/>
      <c r="AL39" s="343"/>
      <c r="AM39" s="343"/>
      <c r="AN39" s="343"/>
      <c r="AO39" s="343"/>
      <c r="AP39" s="343"/>
      <c r="AQ39" s="341"/>
      <c r="AR39" s="341"/>
      <c r="AS39" s="701"/>
    </row>
    <row r="40" spans="1:45" s="218" customFormat="1" ht="156.75" customHeight="1" thickBot="1">
      <c r="A40" s="669"/>
      <c r="B40" s="669"/>
      <c r="C40" s="669"/>
      <c r="D40" s="669"/>
      <c r="E40" s="669"/>
      <c r="F40" s="669"/>
      <c r="G40" s="668" t="s">
        <v>151</v>
      </c>
      <c r="H40" s="222" t="s">
        <v>18</v>
      </c>
      <c r="I40" s="223">
        <v>90</v>
      </c>
      <c r="J40" s="223">
        <v>88</v>
      </c>
      <c r="K40" s="667"/>
      <c r="L40" s="669"/>
      <c r="M40" s="224" t="s">
        <v>535</v>
      </c>
      <c r="N40" s="224">
        <v>100</v>
      </c>
      <c r="O40" s="380" t="s">
        <v>510</v>
      </c>
      <c r="P40" s="224">
        <v>25</v>
      </c>
      <c r="Q40" s="224">
        <v>25</v>
      </c>
      <c r="R40" s="224">
        <v>25</v>
      </c>
      <c r="S40" s="245">
        <v>25</v>
      </c>
      <c r="T40" s="266" t="s">
        <v>343</v>
      </c>
      <c r="U40" s="224"/>
      <c r="V40" s="911"/>
      <c r="W40" s="911"/>
      <c r="X40" s="911"/>
      <c r="Y40" s="342"/>
      <c r="Z40" s="342"/>
      <c r="AA40" s="342"/>
      <c r="AB40" s="342"/>
      <c r="AC40" s="913"/>
      <c r="AD40" s="913"/>
      <c r="AE40" s="916"/>
      <c r="AF40" s="916"/>
      <c r="AG40" s="913"/>
      <c r="AH40" s="899"/>
      <c r="AI40" s="343"/>
      <c r="AJ40" s="343"/>
      <c r="AK40" s="343"/>
      <c r="AL40" s="343"/>
      <c r="AM40" s="343"/>
      <c r="AN40" s="343"/>
      <c r="AO40" s="343"/>
      <c r="AP40" s="343"/>
      <c r="AQ40" s="341" t="s">
        <v>342</v>
      </c>
      <c r="AR40" s="341" t="s">
        <v>342</v>
      </c>
      <c r="AS40" s="701"/>
    </row>
    <row r="41" spans="1:45" s="218" customFormat="1" ht="156.75" customHeight="1" thickBot="1">
      <c r="A41" s="669"/>
      <c r="B41" s="669"/>
      <c r="C41" s="669"/>
      <c r="D41" s="669"/>
      <c r="E41" s="669"/>
      <c r="F41" s="669"/>
      <c r="G41" s="669"/>
      <c r="H41" s="222"/>
      <c r="I41" s="223"/>
      <c r="J41" s="223"/>
      <c r="K41" s="667"/>
      <c r="L41" s="669"/>
      <c r="M41" s="224" t="s">
        <v>536</v>
      </c>
      <c r="N41" s="360">
        <v>1</v>
      </c>
      <c r="O41" s="224" t="s">
        <v>513</v>
      </c>
      <c r="P41" s="224">
        <v>0</v>
      </c>
      <c r="Q41" s="224">
        <v>0</v>
      </c>
      <c r="R41" s="224">
        <v>1</v>
      </c>
      <c r="S41" s="245">
        <v>0</v>
      </c>
      <c r="T41" s="266"/>
      <c r="U41" s="224"/>
      <c r="V41" s="911"/>
      <c r="W41" s="911"/>
      <c r="X41" s="911"/>
      <c r="Y41" s="342"/>
      <c r="Z41" s="342"/>
      <c r="AA41" s="342"/>
      <c r="AB41" s="342"/>
      <c r="AC41" s="913"/>
      <c r="AD41" s="913"/>
      <c r="AE41" s="916"/>
      <c r="AF41" s="916"/>
      <c r="AG41" s="913"/>
      <c r="AH41" s="899"/>
      <c r="AI41" s="343"/>
      <c r="AJ41" s="343"/>
      <c r="AK41" s="343"/>
      <c r="AL41" s="343"/>
      <c r="AM41" s="343"/>
      <c r="AN41" s="343"/>
      <c r="AO41" s="343"/>
      <c r="AP41" s="343"/>
      <c r="AQ41" s="341"/>
      <c r="AR41" s="341"/>
      <c r="AS41" s="701"/>
    </row>
    <row r="42" spans="1:45" s="218" customFormat="1" ht="156.75" customHeight="1" thickBot="1">
      <c r="A42" s="669"/>
      <c r="B42" s="669"/>
      <c r="C42" s="669"/>
      <c r="D42" s="669"/>
      <c r="E42" s="669"/>
      <c r="F42" s="669"/>
      <c r="G42" s="670"/>
      <c r="H42" s="222"/>
      <c r="I42" s="223"/>
      <c r="J42" s="223"/>
      <c r="K42" s="667"/>
      <c r="L42" s="669"/>
      <c r="M42" s="224" t="s">
        <v>537</v>
      </c>
      <c r="N42" s="224">
        <v>100</v>
      </c>
      <c r="O42" s="380" t="s">
        <v>510</v>
      </c>
      <c r="P42" s="224">
        <v>25</v>
      </c>
      <c r="Q42" s="224">
        <v>25</v>
      </c>
      <c r="R42" s="224">
        <v>25</v>
      </c>
      <c r="S42" s="245">
        <v>25</v>
      </c>
      <c r="T42" s="266"/>
      <c r="U42" s="224"/>
      <c r="V42" s="911"/>
      <c r="W42" s="911"/>
      <c r="X42" s="911"/>
      <c r="Y42" s="342"/>
      <c r="Z42" s="342"/>
      <c r="AA42" s="342"/>
      <c r="AB42" s="342"/>
      <c r="AC42" s="913"/>
      <c r="AD42" s="913"/>
      <c r="AE42" s="916"/>
      <c r="AF42" s="916"/>
      <c r="AG42" s="913"/>
      <c r="AH42" s="899"/>
      <c r="AI42" s="343"/>
      <c r="AJ42" s="343"/>
      <c r="AK42" s="343"/>
      <c r="AL42" s="343"/>
      <c r="AM42" s="343"/>
      <c r="AN42" s="343"/>
      <c r="AO42" s="343"/>
      <c r="AP42" s="343"/>
      <c r="AQ42" s="341"/>
      <c r="AR42" s="341"/>
      <c r="AS42" s="701"/>
    </row>
    <row r="43" spans="1:45" s="218" customFormat="1" ht="156.75" customHeight="1" thickBot="1">
      <c r="A43" s="669"/>
      <c r="B43" s="669"/>
      <c r="C43" s="669"/>
      <c r="D43" s="669"/>
      <c r="E43" s="669"/>
      <c r="F43" s="669"/>
      <c r="G43" s="668" t="s">
        <v>152</v>
      </c>
      <c r="H43" s="222" t="s">
        <v>18</v>
      </c>
      <c r="I43" s="223">
        <v>85.1</v>
      </c>
      <c r="J43" s="223">
        <v>85</v>
      </c>
      <c r="K43" s="667"/>
      <c r="L43" s="669"/>
      <c r="M43" s="224" t="s">
        <v>535</v>
      </c>
      <c r="N43" s="224">
        <v>100</v>
      </c>
      <c r="O43" s="380" t="s">
        <v>358</v>
      </c>
      <c r="P43" s="224">
        <v>25</v>
      </c>
      <c r="Q43" s="224">
        <v>25</v>
      </c>
      <c r="R43" s="224">
        <v>25</v>
      </c>
      <c r="S43" s="245">
        <v>25</v>
      </c>
      <c r="T43" s="266" t="s">
        <v>343</v>
      </c>
      <c r="U43" s="224"/>
      <c r="V43" s="911"/>
      <c r="W43" s="911"/>
      <c r="X43" s="911"/>
      <c r="Y43" s="342"/>
      <c r="Z43" s="342"/>
      <c r="AA43" s="342"/>
      <c r="AB43" s="342"/>
      <c r="AC43" s="913"/>
      <c r="AD43" s="913"/>
      <c r="AE43" s="916"/>
      <c r="AF43" s="916"/>
      <c r="AG43" s="913"/>
      <c r="AH43" s="899"/>
      <c r="AI43" s="343"/>
      <c r="AJ43" s="343"/>
      <c r="AK43" s="343"/>
      <c r="AL43" s="343"/>
      <c r="AM43" s="343"/>
      <c r="AN43" s="343"/>
      <c r="AO43" s="343"/>
      <c r="AP43" s="343"/>
      <c r="AQ43" s="341" t="s">
        <v>342</v>
      </c>
      <c r="AR43" s="341" t="s">
        <v>342</v>
      </c>
      <c r="AS43" s="701"/>
    </row>
    <row r="44" spans="1:45" s="218" customFormat="1" ht="156.75" customHeight="1" thickBot="1">
      <c r="A44" s="669"/>
      <c r="B44" s="669"/>
      <c r="C44" s="669"/>
      <c r="D44" s="669"/>
      <c r="E44" s="669"/>
      <c r="F44" s="669"/>
      <c r="G44" s="669"/>
      <c r="H44" s="222"/>
      <c r="I44" s="223"/>
      <c r="J44" s="223"/>
      <c r="K44" s="667"/>
      <c r="L44" s="669"/>
      <c r="M44" s="224" t="s">
        <v>536</v>
      </c>
      <c r="N44" s="360">
        <v>1</v>
      </c>
      <c r="O44" s="224" t="s">
        <v>513</v>
      </c>
      <c r="P44" s="224">
        <v>0</v>
      </c>
      <c r="Q44" s="224">
        <v>0</v>
      </c>
      <c r="R44" s="224">
        <v>1</v>
      </c>
      <c r="S44" s="245">
        <v>0</v>
      </c>
      <c r="T44" s="266"/>
      <c r="U44" s="224"/>
      <c r="V44" s="911"/>
      <c r="W44" s="911"/>
      <c r="X44" s="911"/>
      <c r="Y44" s="342"/>
      <c r="Z44" s="342"/>
      <c r="AA44" s="342"/>
      <c r="AB44" s="342"/>
      <c r="AC44" s="913"/>
      <c r="AD44" s="913"/>
      <c r="AE44" s="916"/>
      <c r="AF44" s="916"/>
      <c r="AG44" s="913"/>
      <c r="AH44" s="899"/>
      <c r="AI44" s="343"/>
      <c r="AJ44" s="343"/>
      <c r="AK44" s="343"/>
      <c r="AL44" s="343"/>
      <c r="AM44" s="343"/>
      <c r="AN44" s="343"/>
      <c r="AO44" s="343"/>
      <c r="AP44" s="343"/>
      <c r="AQ44" s="341"/>
      <c r="AR44" s="341"/>
      <c r="AS44" s="701"/>
    </row>
    <row r="45" spans="1:45" s="218" customFormat="1" ht="156.75" customHeight="1" thickBot="1">
      <c r="A45" s="669"/>
      <c r="B45" s="669"/>
      <c r="C45" s="669"/>
      <c r="D45" s="669"/>
      <c r="E45" s="669"/>
      <c r="F45" s="669"/>
      <c r="G45" s="670"/>
      <c r="H45" s="222"/>
      <c r="I45" s="223"/>
      <c r="J45" s="223"/>
      <c r="K45" s="667"/>
      <c r="L45" s="669"/>
      <c r="M45" s="224" t="s">
        <v>537</v>
      </c>
      <c r="N45" s="224">
        <v>100</v>
      </c>
      <c r="O45" s="380" t="s">
        <v>358</v>
      </c>
      <c r="P45" s="224">
        <v>25</v>
      </c>
      <c r="Q45" s="224">
        <v>25</v>
      </c>
      <c r="R45" s="224">
        <v>25</v>
      </c>
      <c r="S45" s="245">
        <v>25</v>
      </c>
      <c r="T45" s="266"/>
      <c r="U45" s="224"/>
      <c r="V45" s="911"/>
      <c r="W45" s="911"/>
      <c r="X45" s="911"/>
      <c r="Y45" s="342"/>
      <c r="Z45" s="342"/>
      <c r="AA45" s="342"/>
      <c r="AB45" s="342"/>
      <c r="AC45" s="913"/>
      <c r="AD45" s="913"/>
      <c r="AE45" s="916"/>
      <c r="AF45" s="916"/>
      <c r="AG45" s="913"/>
      <c r="AH45" s="899"/>
      <c r="AI45" s="343"/>
      <c r="AJ45" s="343"/>
      <c r="AK45" s="343"/>
      <c r="AL45" s="343"/>
      <c r="AM45" s="343"/>
      <c r="AN45" s="343"/>
      <c r="AO45" s="343"/>
      <c r="AP45" s="343"/>
      <c r="AQ45" s="341"/>
      <c r="AR45" s="341"/>
      <c r="AS45" s="701"/>
    </row>
    <row r="46" spans="1:45" s="218" customFormat="1" ht="156.75" customHeight="1" thickBot="1">
      <c r="A46" s="669"/>
      <c r="B46" s="669"/>
      <c r="C46" s="669"/>
      <c r="D46" s="669"/>
      <c r="E46" s="669"/>
      <c r="F46" s="669"/>
      <c r="G46" s="668" t="s">
        <v>153</v>
      </c>
      <c r="H46" s="222" t="s">
        <v>18</v>
      </c>
      <c r="I46" s="223">
        <v>95</v>
      </c>
      <c r="J46" s="223">
        <v>90</v>
      </c>
      <c r="K46" s="667"/>
      <c r="L46" s="669"/>
      <c r="M46" s="224" t="s">
        <v>538</v>
      </c>
      <c r="N46" s="245">
        <v>100</v>
      </c>
      <c r="O46" s="379" t="s">
        <v>358</v>
      </c>
      <c r="P46" s="245">
        <v>25</v>
      </c>
      <c r="Q46" s="245">
        <v>25</v>
      </c>
      <c r="R46" s="245">
        <v>25</v>
      </c>
      <c r="S46" s="245">
        <v>25</v>
      </c>
      <c r="T46" s="266" t="s">
        <v>343</v>
      </c>
      <c r="U46" s="79"/>
      <c r="V46" s="911"/>
      <c r="W46" s="911"/>
      <c r="X46" s="911"/>
      <c r="Y46" s="342"/>
      <c r="Z46" s="342"/>
      <c r="AA46" s="342"/>
      <c r="AB46" s="342"/>
      <c r="AC46" s="913"/>
      <c r="AD46" s="913"/>
      <c r="AE46" s="916"/>
      <c r="AF46" s="916"/>
      <c r="AG46" s="913"/>
      <c r="AH46" s="899"/>
      <c r="AI46" s="343"/>
      <c r="AJ46" s="343"/>
      <c r="AK46" s="343"/>
      <c r="AL46" s="343"/>
      <c r="AM46" s="343"/>
      <c r="AN46" s="343"/>
      <c r="AO46" s="343"/>
      <c r="AP46" s="343"/>
      <c r="AQ46" s="341" t="s">
        <v>342</v>
      </c>
      <c r="AR46" s="341" t="s">
        <v>342</v>
      </c>
      <c r="AS46" s="701"/>
    </row>
    <row r="47" spans="1:45" s="218" customFormat="1" ht="156.75" customHeight="1" thickBot="1">
      <c r="A47" s="669"/>
      <c r="B47" s="669"/>
      <c r="C47" s="669"/>
      <c r="D47" s="669"/>
      <c r="E47" s="669"/>
      <c r="F47" s="669"/>
      <c r="G47" s="669"/>
      <c r="H47" s="222"/>
      <c r="I47" s="223"/>
      <c r="J47" s="223"/>
      <c r="K47" s="667"/>
      <c r="L47" s="669"/>
      <c r="M47" s="224" t="s">
        <v>539</v>
      </c>
      <c r="N47" s="278">
        <v>2</v>
      </c>
      <c r="O47" s="245" t="s">
        <v>513</v>
      </c>
      <c r="P47" s="245">
        <v>0</v>
      </c>
      <c r="Q47" s="245">
        <v>0</v>
      </c>
      <c r="R47" s="245">
        <v>2</v>
      </c>
      <c r="S47" s="245">
        <v>0</v>
      </c>
      <c r="T47" s="266"/>
      <c r="U47" s="79"/>
      <c r="V47" s="911"/>
      <c r="W47" s="911"/>
      <c r="X47" s="911"/>
      <c r="Y47" s="342"/>
      <c r="Z47" s="342"/>
      <c r="AA47" s="342"/>
      <c r="AB47" s="342"/>
      <c r="AC47" s="913"/>
      <c r="AD47" s="913"/>
      <c r="AE47" s="916"/>
      <c r="AF47" s="916"/>
      <c r="AG47" s="913"/>
      <c r="AH47" s="899"/>
      <c r="AI47" s="343"/>
      <c r="AJ47" s="343"/>
      <c r="AK47" s="343"/>
      <c r="AL47" s="343"/>
      <c r="AM47" s="343"/>
      <c r="AN47" s="343"/>
      <c r="AO47" s="343"/>
      <c r="AP47" s="343"/>
      <c r="AQ47" s="341"/>
      <c r="AR47" s="341"/>
      <c r="AS47" s="701"/>
    </row>
    <row r="48" spans="1:45" s="218" customFormat="1" ht="156.75" customHeight="1" thickBot="1">
      <c r="A48" s="669"/>
      <c r="B48" s="669"/>
      <c r="C48" s="669"/>
      <c r="D48" s="669"/>
      <c r="E48" s="669"/>
      <c r="F48" s="669"/>
      <c r="G48" s="670"/>
      <c r="H48" s="222"/>
      <c r="I48" s="223"/>
      <c r="J48" s="223"/>
      <c r="K48" s="667"/>
      <c r="L48" s="669"/>
      <c r="M48" s="224" t="s">
        <v>540</v>
      </c>
      <c r="N48" s="245">
        <v>100</v>
      </c>
      <c r="O48" s="379" t="s">
        <v>358</v>
      </c>
      <c r="P48" s="245">
        <v>25</v>
      </c>
      <c r="Q48" s="245">
        <v>25</v>
      </c>
      <c r="R48" s="245">
        <v>25</v>
      </c>
      <c r="S48" s="245">
        <v>25</v>
      </c>
      <c r="T48" s="266"/>
      <c r="U48" s="79"/>
      <c r="V48" s="911"/>
      <c r="W48" s="911"/>
      <c r="X48" s="911"/>
      <c r="Y48" s="342"/>
      <c r="Z48" s="342"/>
      <c r="AA48" s="342"/>
      <c r="AB48" s="342"/>
      <c r="AC48" s="913"/>
      <c r="AD48" s="913"/>
      <c r="AE48" s="916"/>
      <c r="AF48" s="916"/>
      <c r="AG48" s="913"/>
      <c r="AH48" s="899"/>
      <c r="AI48" s="343"/>
      <c r="AJ48" s="343"/>
      <c r="AK48" s="343"/>
      <c r="AL48" s="343"/>
      <c r="AM48" s="343"/>
      <c r="AN48" s="343"/>
      <c r="AO48" s="343"/>
      <c r="AP48" s="343"/>
      <c r="AQ48" s="341"/>
      <c r="AR48" s="341"/>
      <c r="AS48" s="701"/>
    </row>
    <row r="49" spans="1:45" s="218" customFormat="1" ht="94.5" customHeight="1" thickBot="1">
      <c r="A49" s="669"/>
      <c r="B49" s="669"/>
      <c r="C49" s="668" t="s">
        <v>316</v>
      </c>
      <c r="D49" s="668" t="s">
        <v>53</v>
      </c>
      <c r="E49" s="668">
        <v>40</v>
      </c>
      <c r="F49" s="669"/>
      <c r="G49" s="668" t="s">
        <v>154</v>
      </c>
      <c r="H49" s="222" t="s">
        <v>18</v>
      </c>
      <c r="I49" s="223">
        <v>100</v>
      </c>
      <c r="J49" s="223">
        <v>100</v>
      </c>
      <c r="K49" s="667"/>
      <c r="L49" s="669"/>
      <c r="M49" s="224" t="s">
        <v>541</v>
      </c>
      <c r="N49" s="245">
        <v>100</v>
      </c>
      <c r="O49" s="379" t="s">
        <v>358</v>
      </c>
      <c r="P49" s="245">
        <v>25</v>
      </c>
      <c r="Q49" s="245">
        <v>25</v>
      </c>
      <c r="R49" s="245">
        <v>25</v>
      </c>
      <c r="S49" s="245">
        <v>25</v>
      </c>
      <c r="T49" s="266" t="s">
        <v>343</v>
      </c>
      <c r="U49" s="79"/>
      <c r="V49" s="911"/>
      <c r="W49" s="911"/>
      <c r="X49" s="911"/>
      <c r="Y49" s="342"/>
      <c r="Z49" s="342"/>
      <c r="AA49" s="342"/>
      <c r="AB49" s="342"/>
      <c r="AC49" s="913"/>
      <c r="AD49" s="913"/>
      <c r="AE49" s="916"/>
      <c r="AF49" s="916"/>
      <c r="AG49" s="913"/>
      <c r="AH49" s="899"/>
      <c r="AI49" s="343"/>
      <c r="AJ49" s="343"/>
      <c r="AK49" s="343"/>
      <c r="AL49" s="343"/>
      <c r="AM49" s="343"/>
      <c r="AN49" s="343"/>
      <c r="AO49" s="343"/>
      <c r="AP49" s="343"/>
      <c r="AQ49" s="341" t="s">
        <v>342</v>
      </c>
      <c r="AR49" s="341" t="s">
        <v>342</v>
      </c>
      <c r="AS49" s="701"/>
    </row>
    <row r="50" spans="1:45" s="218" customFormat="1" ht="94.5" customHeight="1" thickBot="1">
      <c r="A50" s="669"/>
      <c r="B50" s="669"/>
      <c r="C50" s="669"/>
      <c r="D50" s="669"/>
      <c r="E50" s="669"/>
      <c r="F50" s="669"/>
      <c r="G50" s="670"/>
      <c r="H50" s="222"/>
      <c r="I50" s="223"/>
      <c r="J50" s="223"/>
      <c r="K50" s="667"/>
      <c r="L50" s="669"/>
      <c r="M50" s="224" t="s">
        <v>542</v>
      </c>
      <c r="N50" s="245">
        <v>100</v>
      </c>
      <c r="O50" s="379" t="s">
        <v>358</v>
      </c>
      <c r="P50" s="245">
        <v>25</v>
      </c>
      <c r="Q50" s="245">
        <v>25</v>
      </c>
      <c r="R50" s="245">
        <v>25</v>
      </c>
      <c r="S50" s="245">
        <v>25</v>
      </c>
      <c r="T50" s="266"/>
      <c r="U50" s="79"/>
      <c r="V50" s="911"/>
      <c r="W50" s="911"/>
      <c r="X50" s="911"/>
      <c r="Y50" s="342"/>
      <c r="Z50" s="342"/>
      <c r="AA50" s="342"/>
      <c r="AB50" s="342"/>
      <c r="AC50" s="913"/>
      <c r="AD50" s="913"/>
      <c r="AE50" s="916"/>
      <c r="AF50" s="916"/>
      <c r="AG50" s="913"/>
      <c r="AH50" s="899"/>
      <c r="AI50" s="343"/>
      <c r="AJ50" s="343"/>
      <c r="AK50" s="343"/>
      <c r="AL50" s="343"/>
      <c r="AM50" s="343"/>
      <c r="AN50" s="343"/>
      <c r="AO50" s="343"/>
      <c r="AP50" s="343"/>
      <c r="AQ50" s="341"/>
      <c r="AR50" s="341"/>
      <c r="AS50" s="701"/>
    </row>
    <row r="51" spans="1:45" s="218" customFormat="1" ht="114" customHeight="1" thickBot="1">
      <c r="A51" s="669"/>
      <c r="B51" s="669"/>
      <c r="C51" s="670"/>
      <c r="D51" s="670"/>
      <c r="E51" s="670"/>
      <c r="F51" s="670"/>
      <c r="G51" s="222" t="s">
        <v>155</v>
      </c>
      <c r="H51" s="222" t="s">
        <v>18</v>
      </c>
      <c r="I51" s="223">
        <v>1.4</v>
      </c>
      <c r="J51" s="223">
        <v>1.4</v>
      </c>
      <c r="K51" s="674"/>
      <c r="L51" s="670"/>
      <c r="M51" s="224" t="s">
        <v>543</v>
      </c>
      <c r="N51" s="245">
        <v>100</v>
      </c>
      <c r="O51" s="379" t="s">
        <v>358</v>
      </c>
      <c r="P51" s="245">
        <v>25</v>
      </c>
      <c r="Q51" s="245">
        <v>25</v>
      </c>
      <c r="R51" s="245">
        <v>25</v>
      </c>
      <c r="S51" s="245">
        <v>25</v>
      </c>
      <c r="T51" s="266" t="s">
        <v>343</v>
      </c>
      <c r="U51" s="79"/>
      <c r="V51" s="911"/>
      <c r="W51" s="911"/>
      <c r="X51" s="911"/>
      <c r="Y51" s="342"/>
      <c r="Z51" s="342"/>
      <c r="AA51" s="342"/>
      <c r="AB51" s="342"/>
      <c r="AC51" s="914"/>
      <c r="AD51" s="914"/>
      <c r="AE51" s="917"/>
      <c r="AF51" s="917"/>
      <c r="AG51" s="914"/>
      <c r="AH51" s="900"/>
      <c r="AI51" s="343"/>
      <c r="AJ51" s="343"/>
      <c r="AK51" s="343"/>
      <c r="AL51" s="343"/>
      <c r="AM51" s="343"/>
      <c r="AN51" s="343"/>
      <c r="AO51" s="343"/>
      <c r="AP51" s="343"/>
      <c r="AQ51" s="341" t="s">
        <v>342</v>
      </c>
      <c r="AR51" s="341" t="s">
        <v>342</v>
      </c>
      <c r="AS51" s="701"/>
    </row>
    <row r="52" spans="1:45" s="218" customFormat="1" ht="94.5" customHeight="1" thickBot="1">
      <c r="A52" s="669"/>
      <c r="B52" s="669"/>
      <c r="C52" s="668" t="s">
        <v>317</v>
      </c>
      <c r="D52" s="668" t="s">
        <v>53</v>
      </c>
      <c r="E52" s="668">
        <v>90</v>
      </c>
      <c r="F52" s="668" t="s">
        <v>157</v>
      </c>
      <c r="G52" s="668" t="s">
        <v>158</v>
      </c>
      <c r="H52" s="222" t="s">
        <v>17</v>
      </c>
      <c r="I52" s="81" t="s">
        <v>51</v>
      </c>
      <c r="J52" s="81">
        <v>5196</v>
      </c>
      <c r="K52" s="81"/>
      <c r="L52" s="232" t="s">
        <v>159</v>
      </c>
      <c r="M52" s="224" t="s">
        <v>544</v>
      </c>
      <c r="N52" s="360">
        <v>4706</v>
      </c>
      <c r="O52" s="224" t="s">
        <v>624</v>
      </c>
      <c r="P52" s="224">
        <v>794</v>
      </c>
      <c r="Q52" s="224">
        <v>1380</v>
      </c>
      <c r="R52" s="224">
        <v>1447</v>
      </c>
      <c r="S52" s="245">
        <v>1085</v>
      </c>
      <c r="T52" s="224" t="s">
        <v>344</v>
      </c>
      <c r="U52" s="79"/>
      <c r="V52" s="846">
        <v>202945909</v>
      </c>
      <c r="W52" s="846">
        <v>422595367</v>
      </c>
      <c r="X52" s="846">
        <f>+V52+W52</f>
        <v>625541276</v>
      </c>
      <c r="Y52" s="339"/>
      <c r="Z52" s="339"/>
      <c r="AA52" s="339"/>
      <c r="AB52" s="339"/>
      <c r="AC52" s="339">
        <v>39234476</v>
      </c>
      <c r="AD52" s="339">
        <v>13468314</v>
      </c>
      <c r="AE52" s="339"/>
      <c r="AF52" s="340"/>
      <c r="AG52" s="340">
        <f t="shared" si="0"/>
        <v>52702790</v>
      </c>
      <c r="AH52" s="908">
        <f>+(AG52+AG53+AG54+AG55)/X52</f>
        <v>0.33700600118352542</v>
      </c>
      <c r="AI52" s="340"/>
      <c r="AJ52" s="340"/>
      <c r="AK52" s="340"/>
      <c r="AL52" s="340"/>
      <c r="AM52" s="340"/>
      <c r="AN52" s="340"/>
      <c r="AO52" s="340"/>
      <c r="AP52" s="340"/>
      <c r="AQ52" s="341" t="s">
        <v>342</v>
      </c>
      <c r="AR52" s="341" t="s">
        <v>342</v>
      </c>
      <c r="AS52" s="701"/>
    </row>
    <row r="53" spans="1:45" s="218" customFormat="1" ht="94.5" customHeight="1" thickBot="1">
      <c r="A53" s="669"/>
      <c r="B53" s="669"/>
      <c r="C53" s="669"/>
      <c r="D53" s="669"/>
      <c r="E53" s="669"/>
      <c r="F53" s="669"/>
      <c r="G53" s="669"/>
      <c r="H53" s="222"/>
      <c r="I53" s="81"/>
      <c r="J53" s="81"/>
      <c r="K53" s="81"/>
      <c r="L53" s="232"/>
      <c r="M53" s="224" t="s">
        <v>545</v>
      </c>
      <c r="N53" s="360">
        <v>490</v>
      </c>
      <c r="O53" s="224" t="s">
        <v>624</v>
      </c>
      <c r="P53" s="224">
        <v>64</v>
      </c>
      <c r="Q53" s="224">
        <v>138</v>
      </c>
      <c r="R53" s="224">
        <v>156</v>
      </c>
      <c r="S53" s="245">
        <v>132</v>
      </c>
      <c r="T53" s="224" t="s">
        <v>344</v>
      </c>
      <c r="U53" s="79"/>
      <c r="V53" s="847"/>
      <c r="W53" s="847"/>
      <c r="X53" s="847"/>
      <c r="Y53" s="339"/>
      <c r="Z53" s="339"/>
      <c r="AA53" s="339"/>
      <c r="AB53" s="339"/>
      <c r="AC53" s="339">
        <v>39234476</v>
      </c>
      <c r="AD53" s="339">
        <v>13468314</v>
      </c>
      <c r="AE53" s="339"/>
      <c r="AF53" s="340"/>
      <c r="AG53" s="340">
        <f t="shared" si="0"/>
        <v>52702790</v>
      </c>
      <c r="AH53" s="909"/>
      <c r="AI53" s="340"/>
      <c r="AJ53" s="340"/>
      <c r="AK53" s="340"/>
      <c r="AL53" s="340"/>
      <c r="AM53" s="340"/>
      <c r="AN53" s="340"/>
      <c r="AO53" s="340"/>
      <c r="AP53" s="340"/>
      <c r="AQ53" s="341"/>
      <c r="AR53" s="341"/>
      <c r="AS53" s="701"/>
    </row>
    <row r="54" spans="1:45" s="218" customFormat="1" ht="94.5" customHeight="1" thickBot="1">
      <c r="A54" s="669"/>
      <c r="B54" s="669"/>
      <c r="C54" s="669"/>
      <c r="D54" s="669"/>
      <c r="E54" s="669"/>
      <c r="F54" s="669"/>
      <c r="G54" s="669"/>
      <c r="H54" s="222"/>
      <c r="I54" s="81"/>
      <c r="J54" s="81"/>
      <c r="K54" s="81"/>
      <c r="L54" s="232"/>
      <c r="M54" s="224" t="s">
        <v>546</v>
      </c>
      <c r="N54" s="360">
        <v>5484</v>
      </c>
      <c r="O54" s="224" t="s">
        <v>622</v>
      </c>
      <c r="P54" s="224">
        <v>920</v>
      </c>
      <c r="Q54" s="224">
        <v>1608</v>
      </c>
      <c r="R54" s="224">
        <v>1688</v>
      </c>
      <c r="S54" s="245">
        <v>1268</v>
      </c>
      <c r="T54" s="224" t="s">
        <v>344</v>
      </c>
      <c r="U54" s="79"/>
      <c r="V54" s="847"/>
      <c r="W54" s="847"/>
      <c r="X54" s="847"/>
      <c r="Y54" s="339"/>
      <c r="Z54" s="339"/>
      <c r="AA54" s="339"/>
      <c r="AB54" s="339"/>
      <c r="AC54" s="339">
        <v>39234477</v>
      </c>
      <c r="AD54" s="339">
        <v>13468315</v>
      </c>
      <c r="AE54" s="339"/>
      <c r="AF54" s="340"/>
      <c r="AG54" s="340">
        <f t="shared" si="0"/>
        <v>52702792</v>
      </c>
      <c r="AH54" s="909"/>
      <c r="AI54" s="340"/>
      <c r="AJ54" s="340"/>
      <c r="AK54" s="340"/>
      <c r="AL54" s="340"/>
      <c r="AM54" s="340"/>
      <c r="AN54" s="340"/>
      <c r="AO54" s="340"/>
      <c r="AP54" s="340"/>
      <c r="AQ54" s="341"/>
      <c r="AR54" s="341"/>
      <c r="AS54" s="701"/>
    </row>
    <row r="55" spans="1:45" s="218" customFormat="1" ht="94.5" customHeight="1" thickBot="1">
      <c r="A55" s="669"/>
      <c r="B55" s="669"/>
      <c r="C55" s="669"/>
      <c r="D55" s="669"/>
      <c r="E55" s="669"/>
      <c r="F55" s="669"/>
      <c r="G55" s="670"/>
      <c r="H55" s="222"/>
      <c r="I55" s="81"/>
      <c r="J55" s="81"/>
      <c r="K55" s="81"/>
      <c r="L55" s="232"/>
      <c r="M55" s="224" t="s">
        <v>547</v>
      </c>
      <c r="N55" s="360">
        <v>588</v>
      </c>
      <c r="O55" s="224" t="s">
        <v>623</v>
      </c>
      <c r="P55" s="224">
        <v>80</v>
      </c>
      <c r="Q55" s="224">
        <v>164</v>
      </c>
      <c r="R55" s="224">
        <v>186</v>
      </c>
      <c r="S55" s="245">
        <v>158</v>
      </c>
      <c r="T55" s="224" t="s">
        <v>344</v>
      </c>
      <c r="U55" s="79"/>
      <c r="V55" s="848"/>
      <c r="W55" s="848"/>
      <c r="X55" s="848"/>
      <c r="Y55" s="339"/>
      <c r="Z55" s="339"/>
      <c r="AA55" s="339"/>
      <c r="AB55" s="339"/>
      <c r="AC55" s="339">
        <v>39234477</v>
      </c>
      <c r="AD55" s="339">
        <v>13468315</v>
      </c>
      <c r="AE55" s="339"/>
      <c r="AF55" s="340"/>
      <c r="AG55" s="340">
        <f t="shared" si="0"/>
        <v>52702792</v>
      </c>
      <c r="AH55" s="910"/>
      <c r="AI55" s="340"/>
      <c r="AJ55" s="340"/>
      <c r="AK55" s="340"/>
      <c r="AL55" s="340"/>
      <c r="AM55" s="340"/>
      <c r="AN55" s="340"/>
      <c r="AO55" s="340"/>
      <c r="AP55" s="340"/>
      <c r="AQ55" s="341"/>
      <c r="AR55" s="341"/>
      <c r="AS55" s="701"/>
    </row>
    <row r="56" spans="1:45" s="218" customFormat="1" ht="94.5" customHeight="1" thickBot="1">
      <c r="A56" s="669"/>
      <c r="B56" s="669"/>
      <c r="C56" s="669"/>
      <c r="D56" s="669"/>
      <c r="E56" s="669"/>
      <c r="F56" s="669"/>
      <c r="G56" s="75"/>
      <c r="H56" s="222"/>
      <c r="I56" s="81"/>
      <c r="J56" s="81"/>
      <c r="K56" s="81"/>
      <c r="L56" s="232"/>
      <c r="M56" s="230" t="s">
        <v>558</v>
      </c>
      <c r="N56" s="224">
        <v>100</v>
      </c>
      <c r="O56" s="381" t="s">
        <v>18</v>
      </c>
      <c r="P56" s="240">
        <v>0</v>
      </c>
      <c r="Q56" s="240">
        <v>100</v>
      </c>
      <c r="R56" s="240">
        <v>0</v>
      </c>
      <c r="S56" s="240">
        <v>0</v>
      </c>
      <c r="T56" s="266" t="s">
        <v>345</v>
      </c>
      <c r="U56" s="276"/>
      <c r="V56" s="176">
        <v>2744830570</v>
      </c>
      <c r="W56" s="176">
        <v>0</v>
      </c>
      <c r="X56" s="176">
        <f t="shared" ref="X56:X57" si="2">+V56+W56</f>
        <v>2744830570</v>
      </c>
      <c r="Y56" s="339"/>
      <c r="Z56" s="339"/>
      <c r="AA56" s="339"/>
      <c r="AB56" s="339"/>
      <c r="AC56" s="339">
        <v>445550656</v>
      </c>
      <c r="AD56" s="339">
        <v>420991312</v>
      </c>
      <c r="AE56" s="339"/>
      <c r="AF56" s="340"/>
      <c r="AG56" s="340">
        <f t="shared" si="0"/>
        <v>866541968</v>
      </c>
      <c r="AH56" s="478">
        <f t="shared" si="1"/>
        <v>0.31569962003155627</v>
      </c>
      <c r="AI56" s="340"/>
      <c r="AJ56" s="340"/>
      <c r="AK56" s="340"/>
      <c r="AL56" s="340"/>
      <c r="AM56" s="340"/>
      <c r="AN56" s="340"/>
      <c r="AO56" s="340"/>
      <c r="AP56" s="340"/>
      <c r="AQ56" s="341" t="s">
        <v>342</v>
      </c>
      <c r="AR56" s="341" t="s">
        <v>342</v>
      </c>
      <c r="AS56" s="701"/>
    </row>
    <row r="57" spans="1:45" s="218" customFormat="1" ht="94.5" customHeight="1" thickBot="1">
      <c r="A57" s="669"/>
      <c r="B57" s="669"/>
      <c r="C57" s="669"/>
      <c r="D57" s="669"/>
      <c r="E57" s="669"/>
      <c r="F57" s="669"/>
      <c r="G57" s="75"/>
      <c r="H57" s="222"/>
      <c r="I57" s="81"/>
      <c r="J57" s="81"/>
      <c r="K57" s="81"/>
      <c r="L57" s="232"/>
      <c r="M57" s="230" t="s">
        <v>560</v>
      </c>
      <c r="N57" s="328">
        <v>1</v>
      </c>
      <c r="O57" s="240" t="s">
        <v>452</v>
      </c>
      <c r="P57" s="240">
        <v>1</v>
      </c>
      <c r="Q57" s="240">
        <v>0</v>
      </c>
      <c r="R57" s="240">
        <v>0</v>
      </c>
      <c r="S57" s="240">
        <v>0</v>
      </c>
      <c r="T57" s="266" t="s">
        <v>23</v>
      </c>
      <c r="U57" s="276"/>
      <c r="V57" s="176">
        <v>100800000</v>
      </c>
      <c r="W57" s="176">
        <v>-100800000</v>
      </c>
      <c r="X57" s="176">
        <f t="shared" si="2"/>
        <v>0</v>
      </c>
      <c r="Y57" s="339"/>
      <c r="Z57" s="339"/>
      <c r="AA57" s="339"/>
      <c r="AB57" s="339"/>
      <c r="AC57" s="339">
        <v>0</v>
      </c>
      <c r="AD57" s="339"/>
      <c r="AE57" s="339"/>
      <c r="AF57" s="340"/>
      <c r="AG57" s="340">
        <f t="shared" si="0"/>
        <v>0</v>
      </c>
      <c r="AH57" s="478" t="e">
        <f t="shared" si="1"/>
        <v>#DIV/0!</v>
      </c>
      <c r="AI57" s="340"/>
      <c r="AJ57" s="340"/>
      <c r="AK57" s="340"/>
      <c r="AL57" s="340"/>
      <c r="AM57" s="340"/>
      <c r="AN57" s="340"/>
      <c r="AO57" s="340"/>
      <c r="AP57" s="340"/>
      <c r="AQ57" s="341" t="s">
        <v>342</v>
      </c>
      <c r="AR57" s="341" t="s">
        <v>342</v>
      </c>
      <c r="AS57" s="701"/>
    </row>
    <row r="58" spans="1:45" s="218" customFormat="1" ht="94.5" customHeight="1" thickBot="1">
      <c r="A58" s="669"/>
      <c r="B58" s="669"/>
      <c r="C58" s="669"/>
      <c r="D58" s="669"/>
      <c r="E58" s="669"/>
      <c r="F58" s="669"/>
      <c r="G58" s="75"/>
      <c r="H58" s="222"/>
      <c r="I58" s="81"/>
      <c r="J58" s="81"/>
      <c r="K58" s="81"/>
      <c r="L58" s="232"/>
      <c r="M58" s="230" t="s">
        <v>696</v>
      </c>
      <c r="N58" s="328">
        <v>1</v>
      </c>
      <c r="O58" s="434" t="s">
        <v>452</v>
      </c>
      <c r="P58" s="434">
        <v>1</v>
      </c>
      <c r="Q58" s="434">
        <v>1</v>
      </c>
      <c r="R58" s="434">
        <v>1</v>
      </c>
      <c r="S58" s="434">
        <v>1</v>
      </c>
      <c r="T58" s="439" t="s">
        <v>698</v>
      </c>
      <c r="U58" s="438"/>
      <c r="V58" s="176">
        <v>1535000000</v>
      </c>
      <c r="W58" s="176">
        <v>0</v>
      </c>
      <c r="X58" s="176">
        <f>+V58+W58</f>
        <v>1535000000</v>
      </c>
      <c r="Y58" s="339"/>
      <c r="Z58" s="339"/>
      <c r="AA58" s="339"/>
      <c r="AB58" s="339"/>
      <c r="AC58" s="339">
        <v>350435833</v>
      </c>
      <c r="AD58" s="339">
        <v>173840000</v>
      </c>
      <c r="AE58" s="339"/>
      <c r="AF58" s="340"/>
      <c r="AG58" s="340">
        <f t="shared" si="0"/>
        <v>524275833</v>
      </c>
      <c r="AH58" s="478">
        <f t="shared" si="1"/>
        <v>0.34154777394136809</v>
      </c>
      <c r="AI58" s="340"/>
      <c r="AJ58" s="340"/>
      <c r="AK58" s="340"/>
      <c r="AL58" s="340"/>
      <c r="AM58" s="340"/>
      <c r="AN58" s="340"/>
      <c r="AO58" s="340"/>
      <c r="AP58" s="340"/>
      <c r="AQ58" s="341"/>
      <c r="AR58" s="341"/>
      <c r="AS58" s="701"/>
    </row>
    <row r="59" spans="1:45" s="218" customFormat="1" ht="94.5" customHeight="1" thickBot="1">
      <c r="A59" s="669"/>
      <c r="B59" s="669"/>
      <c r="C59" s="669"/>
      <c r="D59" s="669"/>
      <c r="E59" s="669"/>
      <c r="F59" s="669"/>
      <c r="G59" s="75"/>
      <c r="H59" s="222"/>
      <c r="I59" s="81"/>
      <c r="J59" s="81"/>
      <c r="K59" s="81"/>
      <c r="L59" s="232"/>
      <c r="M59" s="230" t="s">
        <v>699</v>
      </c>
      <c r="N59" s="328">
        <v>1</v>
      </c>
      <c r="O59" s="434" t="s">
        <v>452</v>
      </c>
      <c r="P59" s="434">
        <v>1</v>
      </c>
      <c r="Q59" s="434">
        <v>1</v>
      </c>
      <c r="R59" s="434">
        <v>1</v>
      </c>
      <c r="S59" s="434">
        <v>1</v>
      </c>
      <c r="T59" s="439" t="s">
        <v>697</v>
      </c>
      <c r="U59" s="438"/>
      <c r="V59" s="176">
        <v>649425345</v>
      </c>
      <c r="W59" s="176">
        <v>0</v>
      </c>
      <c r="X59" s="176">
        <f>+V59+W59</f>
        <v>649425345</v>
      </c>
      <c r="Y59" s="339"/>
      <c r="Z59" s="339"/>
      <c r="AA59" s="339"/>
      <c r="AB59" s="339"/>
      <c r="AC59" s="339">
        <v>399594834</v>
      </c>
      <c r="AD59" s="339">
        <v>16400000</v>
      </c>
      <c r="AE59" s="339"/>
      <c r="AF59" s="340"/>
      <c r="AG59" s="340">
        <f t="shared" si="0"/>
        <v>415994834</v>
      </c>
      <c r="AH59" s="478">
        <f t="shared" si="1"/>
        <v>0.64055836009911193</v>
      </c>
      <c r="AI59" s="340"/>
      <c r="AJ59" s="340"/>
      <c r="AK59" s="340"/>
      <c r="AL59" s="340"/>
      <c r="AM59" s="340"/>
      <c r="AN59" s="340"/>
      <c r="AO59" s="340"/>
      <c r="AP59" s="340"/>
      <c r="AQ59" s="341"/>
      <c r="AR59" s="341"/>
      <c r="AS59" s="701"/>
    </row>
    <row r="60" spans="1:45" s="218" customFormat="1" ht="94.5" customHeight="1">
      <c r="A60" s="670"/>
      <c r="B60" s="670"/>
      <c r="C60" s="670"/>
      <c r="D60" s="670"/>
      <c r="E60" s="670"/>
      <c r="F60" s="670"/>
      <c r="G60" s="75"/>
      <c r="H60" s="222"/>
      <c r="I60" s="81"/>
      <c r="J60" s="81"/>
      <c r="K60" s="81"/>
      <c r="L60" s="222"/>
      <c r="M60" s="230" t="s">
        <v>559</v>
      </c>
      <c r="N60" s="328">
        <v>1</v>
      </c>
      <c r="O60" s="240" t="s">
        <v>452</v>
      </c>
      <c r="P60" s="240">
        <v>0</v>
      </c>
      <c r="Q60" s="240">
        <v>1</v>
      </c>
      <c r="R60" s="240">
        <v>0</v>
      </c>
      <c r="S60" s="240">
        <v>0</v>
      </c>
      <c r="T60" s="266" t="s">
        <v>26</v>
      </c>
      <c r="U60" s="276"/>
      <c r="V60" s="176">
        <v>8025774620</v>
      </c>
      <c r="W60" s="176">
        <v>1109774000</v>
      </c>
      <c r="X60" s="176">
        <f>+V60+W60</f>
        <v>9135548620</v>
      </c>
      <c r="Y60" s="339"/>
      <c r="Z60" s="339"/>
      <c r="AA60" s="339"/>
      <c r="AB60" s="339"/>
      <c r="AC60" s="339">
        <v>1661792515</v>
      </c>
      <c r="AD60" s="339">
        <v>1321567588</v>
      </c>
      <c r="AE60" s="339"/>
      <c r="AF60" s="340"/>
      <c r="AG60" s="340">
        <f t="shared" si="0"/>
        <v>2983360103</v>
      </c>
      <c r="AH60" s="478">
        <f t="shared" si="1"/>
        <v>0.32656605827357527</v>
      </c>
      <c r="AI60" s="340"/>
      <c r="AJ60" s="340"/>
      <c r="AK60" s="340"/>
      <c r="AL60" s="340"/>
      <c r="AM60" s="340"/>
      <c r="AN60" s="340"/>
      <c r="AO60" s="340"/>
      <c r="AP60" s="340"/>
      <c r="AQ60" s="341" t="s">
        <v>342</v>
      </c>
      <c r="AR60" s="341" t="s">
        <v>342</v>
      </c>
      <c r="AS60" s="701"/>
    </row>
    <row r="61" spans="1:45" s="218" customFormat="1" ht="35.25" customHeight="1" thickBot="1">
      <c r="A61" s="932" t="s">
        <v>607</v>
      </c>
      <c r="B61" s="933"/>
      <c r="C61" s="933"/>
      <c r="D61" s="933"/>
      <c r="E61" s="933"/>
      <c r="F61" s="933"/>
      <c r="G61" s="933"/>
      <c r="H61" s="933"/>
      <c r="I61" s="933"/>
      <c r="J61" s="933"/>
      <c r="K61" s="933"/>
      <c r="L61" s="933"/>
      <c r="M61" s="934"/>
      <c r="N61" s="328">
        <f>N60+N57+N55+N54+N53+N52+N47+N44+N41+N34+N31+N28+N25+N19+N15+N13</f>
        <v>11282</v>
      </c>
      <c r="O61" s="328" t="s">
        <v>259</v>
      </c>
      <c r="P61" s="328">
        <f>P60+P57+P55+P54+P53+P52+P47+P44+P41+P34+P31+P28+P25+P19+P15+P13</f>
        <v>1863</v>
      </c>
      <c r="Q61" s="328">
        <f t="shared" ref="Q61:S61" si="3">Q60+Q57+Q55+Q54+Q53+Q52+Q47+Q44+Q41+Q34+Q31+Q28+Q25+Q19+Q15+Q13</f>
        <v>3292</v>
      </c>
      <c r="R61" s="328">
        <f t="shared" si="3"/>
        <v>3482</v>
      </c>
      <c r="S61" s="328">
        <f t="shared" si="3"/>
        <v>2645</v>
      </c>
      <c r="T61" s="328"/>
      <c r="U61" s="328"/>
      <c r="V61" s="901">
        <f>SUM(V8:V60)</f>
        <v>47859140472</v>
      </c>
      <c r="W61" s="901">
        <f>SUM(W8:W60)</f>
        <v>8852493873</v>
      </c>
      <c r="X61" s="901">
        <f>SUM(X8:X60)</f>
        <v>56711634345</v>
      </c>
      <c r="Y61" s="328">
        <f>Y60+Y57+Y55+Y54+Y53+Y52+Y47+Y44+Y41+Y34+Y31+Y28+Y25+Y19+Y15+Y13</f>
        <v>0</v>
      </c>
      <c r="Z61" s="328">
        <f t="shared" ref="Z61:AB61" si="4">Z60+Z57+Z55+Z54+Z53+Z52+Z47+Z44+Z41+Z34+Z31+Z28+Z25+Z19+Z15+Z13</f>
        <v>0</v>
      </c>
      <c r="AA61" s="328">
        <f t="shared" si="4"/>
        <v>0</v>
      </c>
      <c r="AB61" s="328">
        <f t="shared" si="4"/>
        <v>0</v>
      </c>
      <c r="AC61" s="901">
        <f>SUM(AC8:AC60)</f>
        <v>17771520610</v>
      </c>
      <c r="AD61" s="901">
        <f>SUM(AD8:AD60)</f>
        <v>8718716884</v>
      </c>
      <c r="AE61" s="901">
        <f>SUM(AE8:AE60)</f>
        <v>0</v>
      </c>
      <c r="AF61" s="901">
        <f>SUM(AF8:AF60)</f>
        <v>0</v>
      </c>
      <c r="AG61" s="901">
        <f>SUM(AG8:AG60)</f>
        <v>26490237494</v>
      </c>
      <c r="AH61" s="908">
        <f t="shared" si="1"/>
        <v>0.46710411011696618</v>
      </c>
      <c r="AI61" s="328"/>
      <c r="AJ61" s="328"/>
      <c r="AK61" s="328"/>
      <c r="AL61" s="328"/>
      <c r="AM61" s="328"/>
      <c r="AN61" s="328"/>
      <c r="AO61" s="328"/>
      <c r="AP61" s="328"/>
      <c r="AQ61" s="328"/>
      <c r="AR61" s="344"/>
      <c r="AS61" s="701"/>
    </row>
    <row r="62" spans="1:45" s="218" customFormat="1" ht="24.75" customHeight="1" thickBot="1">
      <c r="A62" s="935"/>
      <c r="B62" s="936"/>
      <c r="C62" s="936"/>
      <c r="D62" s="936"/>
      <c r="E62" s="936"/>
      <c r="F62" s="936"/>
      <c r="G62" s="936"/>
      <c r="H62" s="936"/>
      <c r="I62" s="936"/>
      <c r="J62" s="936"/>
      <c r="K62" s="936"/>
      <c r="L62" s="936"/>
      <c r="M62" s="937"/>
      <c r="N62" s="328">
        <v>100</v>
      </c>
      <c r="O62" s="328" t="s">
        <v>18</v>
      </c>
      <c r="P62" s="362">
        <v>1</v>
      </c>
      <c r="Q62" s="362">
        <v>1</v>
      </c>
      <c r="R62" s="362">
        <v>1</v>
      </c>
      <c r="S62" s="362">
        <v>1</v>
      </c>
      <c r="T62" s="279"/>
      <c r="U62" s="329"/>
      <c r="V62" s="902"/>
      <c r="W62" s="902"/>
      <c r="X62" s="902"/>
      <c r="Y62" s="362">
        <f>AVERAGE(Y56+Y51+Y50+Y49+Y48+Y46+Y45+Y43+Y42+Y40+Y39+Y38+Y37+Y36+Y35+Y33+Y32+Y30+Y29+Y27+Y26+Y24+Y23+Y21+Y20+Y18+Y17+Y16+Y14+Y12+Y11+Y10+Y9+Y8)</f>
        <v>0</v>
      </c>
      <c r="Z62" s="362">
        <f t="shared" ref="Z62:AB62" si="5">AVERAGE(Z56+Z51+Z50+Z49+Z48+Z46+Z45+Z43+Z42+Z40+Z39+Z38+Z37+Z36+Z35+Z33+Z32+Z30+Z29+Z27+Z26+Z24+Z23+Z21+Z20+Z18+Z17+Z16+Z14+Z12+Z11+Z10+Z9+Z8)</f>
        <v>0</v>
      </c>
      <c r="AA62" s="362">
        <f t="shared" si="5"/>
        <v>0</v>
      </c>
      <c r="AB62" s="362">
        <f t="shared" si="5"/>
        <v>0</v>
      </c>
      <c r="AC62" s="928"/>
      <c r="AD62" s="928"/>
      <c r="AE62" s="928"/>
      <c r="AF62" s="928"/>
      <c r="AG62" s="928"/>
      <c r="AH62" s="910"/>
      <c r="AI62" s="328"/>
      <c r="AJ62" s="328"/>
      <c r="AK62" s="328"/>
      <c r="AL62" s="328"/>
      <c r="AM62" s="328"/>
      <c r="AN62" s="328"/>
      <c r="AO62" s="328"/>
      <c r="AP62" s="328"/>
      <c r="AQ62" s="328"/>
      <c r="AR62" s="341"/>
      <c r="AS62" s="701"/>
    </row>
    <row r="63" spans="1:45" s="218" customFormat="1" ht="86.25" customHeight="1" thickBot="1">
      <c r="A63" s="668" t="s">
        <v>224</v>
      </c>
      <c r="B63" s="668" t="s">
        <v>160</v>
      </c>
      <c r="C63" s="225" t="s">
        <v>161</v>
      </c>
      <c r="D63" s="245" t="s">
        <v>53</v>
      </c>
      <c r="E63" s="245">
        <v>5</v>
      </c>
      <c r="F63" s="83" t="s">
        <v>167</v>
      </c>
      <c r="G63" s="668" t="s">
        <v>170</v>
      </c>
      <c r="H63" s="222" t="s">
        <v>17</v>
      </c>
      <c r="I63" s="223" t="s">
        <v>51</v>
      </c>
      <c r="J63" s="226">
        <v>1</v>
      </c>
      <c r="K63" s="85"/>
      <c r="L63" s="245" t="s">
        <v>177</v>
      </c>
      <c r="M63" s="224" t="s">
        <v>548</v>
      </c>
      <c r="N63" s="245">
        <v>2</v>
      </c>
      <c r="O63" s="245" t="s">
        <v>452</v>
      </c>
      <c r="P63" s="245">
        <v>0</v>
      </c>
      <c r="Q63" s="245">
        <v>1</v>
      </c>
      <c r="R63" s="245">
        <v>0</v>
      </c>
      <c r="S63" s="245">
        <v>1</v>
      </c>
      <c r="T63" s="266" t="s">
        <v>343</v>
      </c>
      <c r="U63" s="276"/>
      <c r="V63" s="176">
        <v>0</v>
      </c>
      <c r="W63" s="176"/>
      <c r="X63" s="176">
        <f t="shared" ref="X63:X71" si="6">V63</f>
        <v>0</v>
      </c>
      <c r="Y63" s="339"/>
      <c r="Z63" s="339"/>
      <c r="AA63" s="339"/>
      <c r="AB63" s="339"/>
      <c r="AC63" s="339"/>
      <c r="AD63" s="339"/>
      <c r="AE63" s="339"/>
      <c r="AF63" s="340"/>
      <c r="AG63" s="340">
        <f t="shared" ref="AG63:AG71" si="7">+AC63+AD63+AE63+AF63</f>
        <v>0</v>
      </c>
      <c r="AH63" s="478" t="e">
        <f t="shared" si="1"/>
        <v>#DIV/0!</v>
      </c>
      <c r="AI63" s="340"/>
      <c r="AJ63" s="340"/>
      <c r="AK63" s="340"/>
      <c r="AL63" s="340"/>
      <c r="AM63" s="340"/>
      <c r="AN63" s="340"/>
      <c r="AO63" s="340"/>
      <c r="AP63" s="340"/>
      <c r="AQ63" s="341" t="s">
        <v>342</v>
      </c>
      <c r="AR63" s="341" t="s">
        <v>342</v>
      </c>
      <c r="AS63" s="702"/>
    </row>
    <row r="64" spans="1:45" s="218" customFormat="1" ht="86.25" customHeight="1" thickBot="1">
      <c r="A64" s="669"/>
      <c r="B64" s="669"/>
      <c r="C64" s="241"/>
      <c r="D64" s="241"/>
      <c r="E64" s="240"/>
      <c r="F64" s="235"/>
      <c r="G64" s="669"/>
      <c r="H64" s="222"/>
      <c r="I64" s="223"/>
      <c r="J64" s="226"/>
      <c r="K64" s="216"/>
      <c r="L64" s="244"/>
      <c r="M64" s="224" t="s">
        <v>549</v>
      </c>
      <c r="N64" s="245">
        <v>100</v>
      </c>
      <c r="O64" s="379" t="s">
        <v>510</v>
      </c>
      <c r="P64" s="245">
        <v>25</v>
      </c>
      <c r="Q64" s="245">
        <v>25</v>
      </c>
      <c r="R64" s="245">
        <v>25</v>
      </c>
      <c r="S64" s="245">
        <v>25</v>
      </c>
      <c r="T64" s="266"/>
      <c r="U64" s="79"/>
      <c r="V64" s="236"/>
      <c r="W64" s="236"/>
      <c r="X64" s="176"/>
      <c r="Y64" s="339"/>
      <c r="Z64" s="339"/>
      <c r="AA64" s="339"/>
      <c r="AB64" s="339"/>
      <c r="AC64" s="339"/>
      <c r="AD64" s="339"/>
      <c r="AE64" s="339"/>
      <c r="AF64" s="340"/>
      <c r="AG64" s="340">
        <f t="shared" si="7"/>
        <v>0</v>
      </c>
      <c r="AH64" s="478" t="e">
        <f t="shared" si="1"/>
        <v>#DIV/0!</v>
      </c>
      <c r="AI64" s="340"/>
      <c r="AJ64" s="340"/>
      <c r="AK64" s="340"/>
      <c r="AL64" s="340"/>
      <c r="AM64" s="340"/>
      <c r="AN64" s="340"/>
      <c r="AO64" s="340"/>
      <c r="AP64" s="340"/>
      <c r="AQ64" s="341"/>
      <c r="AR64" s="341"/>
      <c r="AS64" s="260"/>
    </row>
    <row r="65" spans="1:45" s="218" customFormat="1" ht="86.25" customHeight="1" thickBot="1">
      <c r="A65" s="669"/>
      <c r="B65" s="669"/>
      <c r="C65" s="241"/>
      <c r="D65" s="241"/>
      <c r="E65" s="240"/>
      <c r="F65" s="235"/>
      <c r="G65" s="697"/>
      <c r="H65" s="222"/>
      <c r="I65" s="223"/>
      <c r="J65" s="226"/>
      <c r="K65" s="216"/>
      <c r="L65" s="244"/>
      <c r="M65" s="224" t="s">
        <v>550</v>
      </c>
      <c r="N65" s="245">
        <v>2</v>
      </c>
      <c r="O65" s="245" t="s">
        <v>513</v>
      </c>
      <c r="P65" s="245">
        <v>0</v>
      </c>
      <c r="Q65" s="245">
        <v>1</v>
      </c>
      <c r="R65" s="245">
        <v>1</v>
      </c>
      <c r="S65" s="245">
        <v>0</v>
      </c>
      <c r="T65" s="266"/>
      <c r="U65" s="79"/>
      <c r="V65" s="236"/>
      <c r="W65" s="236"/>
      <c r="X65" s="176"/>
      <c r="Y65" s="339"/>
      <c r="Z65" s="339"/>
      <c r="AA65" s="339"/>
      <c r="AB65" s="339"/>
      <c r="AC65" s="339"/>
      <c r="AD65" s="339"/>
      <c r="AE65" s="339"/>
      <c r="AF65" s="340"/>
      <c r="AG65" s="340">
        <f t="shared" si="7"/>
        <v>0</v>
      </c>
      <c r="AH65" s="478" t="e">
        <f t="shared" si="1"/>
        <v>#DIV/0!</v>
      </c>
      <c r="AI65" s="340"/>
      <c r="AJ65" s="340"/>
      <c r="AK65" s="340"/>
      <c r="AL65" s="340"/>
      <c r="AM65" s="340"/>
      <c r="AN65" s="340"/>
      <c r="AO65" s="340"/>
      <c r="AP65" s="340"/>
      <c r="AQ65" s="341"/>
      <c r="AR65" s="341"/>
      <c r="AS65" s="260"/>
    </row>
    <row r="66" spans="1:45" s="218" customFormat="1" ht="86.25" customHeight="1" thickBot="1">
      <c r="A66" s="669"/>
      <c r="B66" s="669"/>
      <c r="C66" s="241"/>
      <c r="D66" s="241"/>
      <c r="E66" s="240"/>
      <c r="F66" s="235"/>
      <c r="G66" s="695" t="s">
        <v>171</v>
      </c>
      <c r="H66" s="222"/>
      <c r="I66" s="223"/>
      <c r="J66" s="226"/>
      <c r="K66" s="216"/>
      <c r="L66" s="244"/>
      <c r="M66" s="228" t="s">
        <v>551</v>
      </c>
      <c r="N66" s="219">
        <v>1</v>
      </c>
      <c r="O66" s="219" t="s">
        <v>513</v>
      </c>
      <c r="P66" s="219">
        <v>0</v>
      </c>
      <c r="Q66" s="219">
        <v>0</v>
      </c>
      <c r="R66" s="219">
        <v>0</v>
      </c>
      <c r="S66" s="219">
        <v>1</v>
      </c>
      <c r="T66" s="266"/>
      <c r="U66" s="268"/>
      <c r="V66" s="236"/>
      <c r="W66" s="236"/>
      <c r="X66" s="176"/>
      <c r="Y66" s="339"/>
      <c r="Z66" s="339"/>
      <c r="AA66" s="339"/>
      <c r="AB66" s="339"/>
      <c r="AC66" s="339"/>
      <c r="AD66" s="339"/>
      <c r="AE66" s="339"/>
      <c r="AF66" s="340"/>
      <c r="AG66" s="340">
        <f t="shared" si="7"/>
        <v>0</v>
      </c>
      <c r="AH66" s="478" t="e">
        <f t="shared" si="1"/>
        <v>#DIV/0!</v>
      </c>
      <c r="AI66" s="340"/>
      <c r="AJ66" s="340"/>
      <c r="AK66" s="340"/>
      <c r="AL66" s="340"/>
      <c r="AM66" s="340"/>
      <c r="AN66" s="340"/>
      <c r="AO66" s="340"/>
      <c r="AP66" s="340"/>
      <c r="AQ66" s="341"/>
      <c r="AR66" s="341"/>
      <c r="AS66" s="260"/>
    </row>
    <row r="67" spans="1:45" s="218" customFormat="1" ht="144" customHeight="1" thickBot="1">
      <c r="A67" s="669"/>
      <c r="B67" s="669"/>
      <c r="C67" s="695" t="s">
        <v>162</v>
      </c>
      <c r="D67" s="695" t="s">
        <v>18</v>
      </c>
      <c r="E67" s="668">
        <v>5</v>
      </c>
      <c r="F67" s="69" t="s">
        <v>166</v>
      </c>
      <c r="G67" s="670"/>
      <c r="H67" s="222" t="s">
        <v>17</v>
      </c>
      <c r="I67" s="223" t="s">
        <v>51</v>
      </c>
      <c r="J67" s="226">
        <v>1</v>
      </c>
      <c r="K67" s="70"/>
      <c r="L67" s="219" t="s">
        <v>176</v>
      </c>
      <c r="M67" s="229" t="s">
        <v>552</v>
      </c>
      <c r="N67" s="244">
        <v>1</v>
      </c>
      <c r="O67" s="244" t="s">
        <v>513</v>
      </c>
      <c r="P67" s="244">
        <v>0</v>
      </c>
      <c r="Q67" s="244">
        <v>0</v>
      </c>
      <c r="R67" s="244">
        <v>0</v>
      </c>
      <c r="S67" s="244">
        <v>1</v>
      </c>
      <c r="T67" s="266" t="s">
        <v>343</v>
      </c>
      <c r="U67" s="268"/>
      <c r="V67" s="250"/>
      <c r="W67" s="436"/>
      <c r="X67" s="176">
        <f t="shared" si="6"/>
        <v>0</v>
      </c>
      <c r="Y67" s="339"/>
      <c r="Z67" s="339"/>
      <c r="AA67" s="339"/>
      <c r="AB67" s="339"/>
      <c r="AC67" s="339"/>
      <c r="AD67" s="339"/>
      <c r="AE67" s="339"/>
      <c r="AF67" s="340"/>
      <c r="AG67" s="340">
        <f t="shared" si="7"/>
        <v>0</v>
      </c>
      <c r="AH67" s="478" t="e">
        <f t="shared" si="1"/>
        <v>#DIV/0!</v>
      </c>
      <c r="AI67" s="340"/>
      <c r="AJ67" s="340"/>
      <c r="AK67" s="340"/>
      <c r="AL67" s="340"/>
      <c r="AM67" s="340"/>
      <c r="AN67" s="340"/>
      <c r="AO67" s="340"/>
      <c r="AP67" s="340"/>
      <c r="AQ67" s="341" t="s">
        <v>342</v>
      </c>
      <c r="AR67" s="341" t="s">
        <v>342</v>
      </c>
      <c r="AS67" s="700" t="s">
        <v>331</v>
      </c>
    </row>
    <row r="68" spans="1:45" s="218" customFormat="1" ht="144" customHeight="1" thickBot="1">
      <c r="A68" s="669"/>
      <c r="B68" s="669"/>
      <c r="C68" s="697"/>
      <c r="D68" s="670"/>
      <c r="E68" s="670"/>
      <c r="F68" s="75" t="s">
        <v>168</v>
      </c>
      <c r="G68" s="814" t="s">
        <v>172</v>
      </c>
      <c r="H68" s="222" t="s">
        <v>17</v>
      </c>
      <c r="I68" s="223" t="s">
        <v>51</v>
      </c>
      <c r="J68" s="226">
        <v>1</v>
      </c>
      <c r="K68" s="265"/>
      <c r="L68" s="265" t="s">
        <v>175</v>
      </c>
      <c r="M68" s="224" t="s">
        <v>556</v>
      </c>
      <c r="N68" s="245">
        <v>1</v>
      </c>
      <c r="O68" s="245" t="s">
        <v>513</v>
      </c>
      <c r="P68" s="245">
        <v>0</v>
      </c>
      <c r="Q68" s="245">
        <v>0</v>
      </c>
      <c r="R68" s="245">
        <v>1</v>
      </c>
      <c r="S68" s="245">
        <v>0</v>
      </c>
      <c r="T68" s="237" t="s">
        <v>343</v>
      </c>
      <c r="U68" s="268"/>
      <c r="V68" s="250"/>
      <c r="W68" s="436"/>
      <c r="X68" s="176">
        <f t="shared" si="6"/>
        <v>0</v>
      </c>
      <c r="Y68" s="339"/>
      <c r="Z68" s="339"/>
      <c r="AA68" s="339"/>
      <c r="AB68" s="339"/>
      <c r="AC68" s="339"/>
      <c r="AD68" s="339"/>
      <c r="AE68" s="339"/>
      <c r="AF68" s="340"/>
      <c r="AG68" s="340">
        <f t="shared" si="7"/>
        <v>0</v>
      </c>
      <c r="AH68" s="478" t="e">
        <f t="shared" si="1"/>
        <v>#DIV/0!</v>
      </c>
      <c r="AI68" s="340"/>
      <c r="AJ68" s="340"/>
      <c r="AK68" s="340"/>
      <c r="AL68" s="340"/>
      <c r="AM68" s="340"/>
      <c r="AN68" s="340"/>
      <c r="AO68" s="340"/>
      <c r="AP68" s="340"/>
      <c r="AQ68" s="341" t="s">
        <v>342</v>
      </c>
      <c r="AR68" s="341" t="s">
        <v>342</v>
      </c>
      <c r="AS68" s="701"/>
    </row>
    <row r="69" spans="1:45" s="218" customFormat="1" ht="144" customHeight="1" thickBot="1">
      <c r="A69" s="669"/>
      <c r="B69" s="669"/>
      <c r="C69" s="242"/>
      <c r="D69" s="241"/>
      <c r="E69" s="241"/>
      <c r="F69" s="235"/>
      <c r="G69" s="814"/>
      <c r="H69" s="232"/>
      <c r="I69" s="269"/>
      <c r="J69" s="226"/>
      <c r="K69" s="264"/>
      <c r="L69" s="264"/>
      <c r="M69" s="224" t="s">
        <v>553</v>
      </c>
      <c r="N69" s="245">
        <v>100</v>
      </c>
      <c r="O69" s="379" t="s">
        <v>510</v>
      </c>
      <c r="P69" s="245">
        <v>25</v>
      </c>
      <c r="Q69" s="245">
        <v>25</v>
      </c>
      <c r="R69" s="245">
        <v>25</v>
      </c>
      <c r="S69" s="245">
        <v>25</v>
      </c>
      <c r="T69" s="237"/>
      <c r="U69" s="267"/>
      <c r="V69" s="249"/>
      <c r="W69" s="437"/>
      <c r="X69" s="176"/>
      <c r="Y69" s="339"/>
      <c r="Z69" s="339"/>
      <c r="AA69" s="339"/>
      <c r="AB69" s="339"/>
      <c r="AC69" s="339"/>
      <c r="AD69" s="339"/>
      <c r="AE69" s="339"/>
      <c r="AF69" s="340"/>
      <c r="AG69" s="340">
        <f t="shared" si="7"/>
        <v>0</v>
      </c>
      <c r="AH69" s="478" t="e">
        <f t="shared" si="1"/>
        <v>#DIV/0!</v>
      </c>
      <c r="AI69" s="340"/>
      <c r="AJ69" s="340"/>
      <c r="AK69" s="340"/>
      <c r="AL69" s="340"/>
      <c r="AM69" s="340"/>
      <c r="AN69" s="340"/>
      <c r="AO69" s="340"/>
      <c r="AP69" s="340"/>
      <c r="AQ69" s="341"/>
      <c r="AR69" s="341"/>
      <c r="AS69" s="701"/>
    </row>
    <row r="70" spans="1:45" s="218" customFormat="1" ht="144" customHeight="1" thickBot="1">
      <c r="A70" s="669"/>
      <c r="B70" s="669"/>
      <c r="C70" s="242"/>
      <c r="D70" s="241"/>
      <c r="E70" s="241"/>
      <c r="F70" s="235"/>
      <c r="G70" s="814"/>
      <c r="H70" s="232"/>
      <c r="I70" s="269"/>
      <c r="J70" s="226"/>
      <c r="K70" s="264"/>
      <c r="L70" s="264"/>
      <c r="M70" s="224" t="s">
        <v>554</v>
      </c>
      <c r="N70" s="245">
        <v>100</v>
      </c>
      <c r="O70" s="379" t="s">
        <v>358</v>
      </c>
      <c r="P70" s="245">
        <v>25</v>
      </c>
      <c r="Q70" s="245">
        <v>25</v>
      </c>
      <c r="R70" s="245">
        <v>25</v>
      </c>
      <c r="S70" s="245">
        <v>25</v>
      </c>
      <c r="T70" s="237"/>
      <c r="U70" s="267"/>
      <c r="V70" s="249"/>
      <c r="W70" s="437"/>
      <c r="X70" s="176"/>
      <c r="Y70" s="339"/>
      <c r="Z70" s="339"/>
      <c r="AA70" s="339"/>
      <c r="AB70" s="339"/>
      <c r="AC70" s="339"/>
      <c r="AD70" s="339"/>
      <c r="AE70" s="339"/>
      <c r="AF70" s="340"/>
      <c r="AG70" s="340">
        <f t="shared" si="7"/>
        <v>0</v>
      </c>
      <c r="AH70" s="478" t="e">
        <f t="shared" si="1"/>
        <v>#DIV/0!</v>
      </c>
      <c r="AI70" s="340"/>
      <c r="AJ70" s="340"/>
      <c r="AK70" s="340"/>
      <c r="AL70" s="340"/>
      <c r="AM70" s="340"/>
      <c r="AN70" s="340"/>
      <c r="AO70" s="340"/>
      <c r="AP70" s="340"/>
      <c r="AQ70" s="341"/>
      <c r="AR70" s="341"/>
      <c r="AS70" s="701"/>
    </row>
    <row r="71" spans="1:45" s="218" customFormat="1" ht="84" customHeight="1" thickBot="1">
      <c r="A71" s="697"/>
      <c r="B71" s="697"/>
      <c r="C71" s="88" t="s">
        <v>163</v>
      </c>
      <c r="D71" s="225" t="s">
        <v>164</v>
      </c>
      <c r="E71" s="225">
        <v>3</v>
      </c>
      <c r="F71" s="83" t="s">
        <v>169</v>
      </c>
      <c r="G71" s="89" t="s">
        <v>173</v>
      </c>
      <c r="H71" s="83" t="s">
        <v>18</v>
      </c>
      <c r="I71" s="226" t="s">
        <v>51</v>
      </c>
      <c r="J71" s="226">
        <v>50</v>
      </c>
      <c r="K71" s="226"/>
      <c r="L71" s="225" t="s">
        <v>174</v>
      </c>
      <c r="M71" s="227" t="s">
        <v>555</v>
      </c>
      <c r="N71" s="225">
        <v>100</v>
      </c>
      <c r="O71" s="382" t="s">
        <v>510</v>
      </c>
      <c r="P71" s="225">
        <v>25</v>
      </c>
      <c r="Q71" s="225">
        <v>25</v>
      </c>
      <c r="R71" s="225">
        <v>25</v>
      </c>
      <c r="S71" s="225">
        <v>25</v>
      </c>
      <c r="T71" s="266" t="s">
        <v>343</v>
      </c>
      <c r="U71" s="86"/>
      <c r="V71" s="87">
        <v>400000000</v>
      </c>
      <c r="W71" s="435"/>
      <c r="X71" s="176">
        <f t="shared" si="6"/>
        <v>400000000</v>
      </c>
      <c r="Y71" s="339"/>
      <c r="Z71" s="339"/>
      <c r="AA71" s="339"/>
      <c r="AB71" s="339"/>
      <c r="AC71" s="339">
        <v>133808605</v>
      </c>
      <c r="AD71" s="339">
        <v>63501578</v>
      </c>
      <c r="AE71" s="339"/>
      <c r="AF71" s="340"/>
      <c r="AG71" s="340">
        <f t="shared" si="7"/>
        <v>197310183</v>
      </c>
      <c r="AH71" s="478">
        <f t="shared" si="1"/>
        <v>0.49327545750000001</v>
      </c>
      <c r="AI71" s="340"/>
      <c r="AJ71" s="340"/>
      <c r="AK71" s="340"/>
      <c r="AL71" s="340"/>
      <c r="AM71" s="340"/>
      <c r="AN71" s="340"/>
      <c r="AO71" s="340"/>
      <c r="AP71" s="340"/>
      <c r="AQ71" s="341" t="s">
        <v>342</v>
      </c>
      <c r="AR71" s="341" t="s">
        <v>342</v>
      </c>
      <c r="AS71" s="702"/>
    </row>
    <row r="72" spans="1:45" s="218" customFormat="1" ht="33.75" customHeight="1" thickBot="1">
      <c r="A72" s="932" t="s">
        <v>607</v>
      </c>
      <c r="B72" s="933"/>
      <c r="C72" s="933"/>
      <c r="D72" s="933"/>
      <c r="E72" s="933"/>
      <c r="F72" s="933"/>
      <c r="G72" s="933"/>
      <c r="H72" s="933"/>
      <c r="I72" s="933"/>
      <c r="J72" s="933"/>
      <c r="K72" s="933"/>
      <c r="L72" s="933"/>
      <c r="M72" s="934"/>
      <c r="N72" s="328">
        <f>N68+N67+N66+N65+N63</f>
        <v>7</v>
      </c>
      <c r="O72" s="328" t="s">
        <v>259</v>
      </c>
      <c r="P72" s="328">
        <f>P68+P67+P66+P65+P63</f>
        <v>0</v>
      </c>
      <c r="Q72" s="328">
        <f t="shared" ref="Q72:S72" si="8">Q68+Q67+Q66+Q65+Q63</f>
        <v>2</v>
      </c>
      <c r="R72" s="328">
        <f t="shared" si="8"/>
        <v>2</v>
      </c>
      <c r="S72" s="328">
        <f t="shared" si="8"/>
        <v>3</v>
      </c>
      <c r="T72" s="328"/>
      <c r="U72" s="328"/>
      <c r="V72" s="941">
        <f>V71+V70+V69+V68+V67+V66+V65+V64+V63</f>
        <v>400000000</v>
      </c>
      <c r="W72" s="449"/>
      <c r="X72" s="941">
        <f>X71+X70+X69+X68+X67+X66+X65+X64+X63</f>
        <v>400000000</v>
      </c>
      <c r="Y72" s="328">
        <f>Y68+Y67+Y66+Y65+Y63</f>
        <v>0</v>
      </c>
      <c r="Z72" s="328">
        <f t="shared" ref="Z72:AB72" si="9">Z68+Z67+Z66+Z65+Z63</f>
        <v>0</v>
      </c>
      <c r="AA72" s="328">
        <f t="shared" si="9"/>
        <v>0</v>
      </c>
      <c r="AB72" s="328">
        <f t="shared" si="9"/>
        <v>0</v>
      </c>
      <c r="AC72" s="941">
        <f t="shared" ref="AC72:AG72" si="10">AC71+AC70+AC69+AC68+AC67+AC66+AC65+AC64+AC63</f>
        <v>133808605</v>
      </c>
      <c r="AD72" s="941">
        <f t="shared" si="10"/>
        <v>63501578</v>
      </c>
      <c r="AE72" s="941">
        <f t="shared" si="10"/>
        <v>0</v>
      </c>
      <c r="AF72" s="941">
        <f t="shared" si="10"/>
        <v>0</v>
      </c>
      <c r="AG72" s="941">
        <f t="shared" si="10"/>
        <v>197310183</v>
      </c>
      <c r="AH72" s="908">
        <f t="shared" si="1"/>
        <v>0.49327545750000001</v>
      </c>
      <c r="AI72" s="941"/>
      <c r="AJ72" s="941"/>
      <c r="AK72" s="328"/>
      <c r="AL72" s="328"/>
      <c r="AM72" s="328"/>
      <c r="AN72" s="328"/>
      <c r="AO72" s="328"/>
      <c r="AP72" s="328"/>
      <c r="AQ72" s="328"/>
      <c r="AR72" s="328"/>
    </row>
    <row r="73" spans="1:45" s="218" customFormat="1" ht="33" customHeight="1">
      <c r="A73" s="935"/>
      <c r="B73" s="936"/>
      <c r="C73" s="936"/>
      <c r="D73" s="936"/>
      <c r="E73" s="936"/>
      <c r="F73" s="936"/>
      <c r="G73" s="936"/>
      <c r="H73" s="936"/>
      <c r="I73" s="936"/>
      <c r="J73" s="936"/>
      <c r="K73" s="936"/>
      <c r="L73" s="936"/>
      <c r="M73" s="937"/>
      <c r="N73" s="278">
        <v>100</v>
      </c>
      <c r="O73" s="278" t="s">
        <v>18</v>
      </c>
      <c r="P73" s="362">
        <v>1</v>
      </c>
      <c r="Q73" s="362">
        <v>1</v>
      </c>
      <c r="R73" s="362">
        <v>1</v>
      </c>
      <c r="S73" s="362">
        <v>1</v>
      </c>
      <c r="T73" s="279"/>
      <c r="U73" s="282"/>
      <c r="V73" s="902"/>
      <c r="W73" s="448"/>
      <c r="X73" s="902"/>
      <c r="Y73" s="362">
        <f>AVERAGE(Y71+Y70+Y69+Y64)</f>
        <v>0</v>
      </c>
      <c r="Z73" s="362">
        <f t="shared" ref="Z73:AB73" si="11">AVERAGE(Z71+Z70+Z69+Z64)</f>
        <v>0</v>
      </c>
      <c r="AA73" s="362">
        <f t="shared" si="11"/>
        <v>0</v>
      </c>
      <c r="AB73" s="362">
        <f t="shared" si="11"/>
        <v>0</v>
      </c>
      <c r="AC73" s="902"/>
      <c r="AD73" s="902"/>
      <c r="AE73" s="902"/>
      <c r="AF73" s="902"/>
      <c r="AG73" s="902"/>
      <c r="AH73" s="910"/>
      <c r="AI73" s="902"/>
      <c r="AJ73" s="902"/>
      <c r="AK73" s="335"/>
      <c r="AL73" s="335"/>
      <c r="AM73" s="335"/>
      <c r="AN73" s="335"/>
      <c r="AO73" s="335"/>
      <c r="AP73" s="335"/>
      <c r="AQ73" s="336"/>
      <c r="AR73" s="336"/>
    </row>
    <row r="74" spans="1:45" s="218" customFormat="1">
      <c r="A74" s="3"/>
      <c r="B74" s="3"/>
      <c r="C74" s="3"/>
      <c r="D74" s="3"/>
      <c r="E74" s="3"/>
      <c r="F74" s="3"/>
      <c r="G74" s="3"/>
      <c r="H74" s="3"/>
      <c r="M74" s="5"/>
      <c r="N74" s="3"/>
      <c r="O74" s="3"/>
      <c r="P74" s="3"/>
      <c r="Q74" s="3"/>
      <c r="R74" s="3"/>
      <c r="S74" s="3"/>
      <c r="T74" s="7" t="e">
        <f>+T73-#REF!</f>
        <v>#REF!</v>
      </c>
      <c r="U74" s="3"/>
      <c r="V74" s="8"/>
      <c r="W74" s="8"/>
      <c r="X74" s="8"/>
      <c r="Y74" s="8"/>
      <c r="Z74" s="8"/>
      <c r="AA74" s="8"/>
      <c r="AB74" s="8"/>
      <c r="AC74" s="8"/>
      <c r="AD74" s="8"/>
      <c r="AE74" s="8"/>
      <c r="AF74" s="8"/>
      <c r="AG74" s="8"/>
      <c r="AH74" s="8"/>
      <c r="AI74" s="8"/>
      <c r="AJ74" s="8"/>
      <c r="AK74" s="8"/>
      <c r="AL74" s="8"/>
      <c r="AM74" s="8"/>
      <c r="AN74" s="8"/>
      <c r="AO74" s="8"/>
      <c r="AP74" s="8"/>
      <c r="AQ74" s="3"/>
      <c r="AR74" s="3"/>
    </row>
    <row r="75" spans="1:45" s="218" customFormat="1" ht="15" customHeight="1">
      <c r="A75" s="3"/>
      <c r="B75" s="3"/>
      <c r="C75" s="3"/>
      <c r="D75" s="3"/>
      <c r="E75" s="3"/>
      <c r="F75" s="3"/>
      <c r="G75" s="3"/>
      <c r="H75" s="3"/>
      <c r="M75" s="5"/>
      <c r="N75" s="3"/>
      <c r="O75" s="3"/>
      <c r="P75" s="3"/>
      <c r="Q75" s="3"/>
      <c r="R75" s="3"/>
      <c r="S75" s="3"/>
      <c r="T75" s="7"/>
      <c r="U75" s="3"/>
      <c r="V75" s="8"/>
      <c r="W75" s="8"/>
      <c r="X75" s="8"/>
      <c r="Y75" s="8"/>
      <c r="Z75" s="8"/>
      <c r="AA75" s="8"/>
      <c r="AB75" s="8"/>
      <c r="AC75" s="8"/>
      <c r="AD75" s="8"/>
      <c r="AE75" s="8"/>
      <c r="AF75" s="8"/>
      <c r="AG75" s="8"/>
      <c r="AH75" s="8"/>
      <c r="AI75" s="8"/>
      <c r="AJ75" s="8"/>
      <c r="AK75" s="8"/>
      <c r="AL75" s="8"/>
      <c r="AM75" s="8"/>
      <c r="AN75" s="8"/>
      <c r="AO75" s="8"/>
      <c r="AP75" s="8"/>
      <c r="AQ75" s="3"/>
      <c r="AR75" s="3"/>
    </row>
    <row r="76" spans="1:45" s="218" customFormat="1" ht="15">
      <c r="A76" s="877" t="s">
        <v>601</v>
      </c>
      <c r="B76" s="877"/>
      <c r="C76" s="877"/>
      <c r="D76" s="877"/>
      <c r="E76" s="877"/>
      <c r="F76" s="877"/>
      <c r="G76" s="877"/>
      <c r="H76" s="877"/>
      <c r="I76" s="877"/>
      <c r="J76" s="877"/>
      <c r="K76" s="877"/>
      <c r="L76" s="877"/>
      <c r="M76" s="877"/>
      <c r="N76" s="877"/>
      <c r="O76" s="877"/>
      <c r="P76" s="3"/>
      <c r="Q76" s="3"/>
      <c r="R76" s="3"/>
      <c r="S76" s="3"/>
      <c r="T76" s="7"/>
      <c r="U76" s="3"/>
      <c r="V76" s="8"/>
      <c r="W76" s="8"/>
      <c r="X76" s="8"/>
      <c r="Y76" s="8"/>
      <c r="Z76" s="8"/>
      <c r="AA76" s="8"/>
      <c r="AB76" s="8"/>
      <c r="AC76" s="8"/>
      <c r="AD76" s="8"/>
      <c r="AE76" s="8"/>
      <c r="AF76" s="8"/>
      <c r="AG76" s="8"/>
      <c r="AH76" s="8"/>
      <c r="AI76" s="8"/>
      <c r="AJ76" s="8"/>
      <c r="AK76" s="8"/>
      <c r="AL76" s="8"/>
      <c r="AM76" s="8"/>
      <c r="AN76" s="8"/>
      <c r="AO76" s="8"/>
      <c r="AP76" s="8"/>
      <c r="AQ76" s="3"/>
      <c r="AR76" s="3"/>
    </row>
    <row r="77" spans="1:45" s="218" customFormat="1" ht="90">
      <c r="A77" s="318" t="s">
        <v>598</v>
      </c>
      <c r="B77" s="319" t="s">
        <v>587</v>
      </c>
      <c r="C77" s="319" t="s">
        <v>588</v>
      </c>
      <c r="D77" s="319" t="s">
        <v>589</v>
      </c>
      <c r="E77" s="319" t="s">
        <v>590</v>
      </c>
      <c r="F77" s="319" t="s">
        <v>589</v>
      </c>
      <c r="G77" s="319" t="s">
        <v>591</v>
      </c>
      <c r="H77" s="319" t="s">
        <v>589</v>
      </c>
      <c r="I77" s="319"/>
      <c r="J77" s="320"/>
      <c r="K77" s="320"/>
      <c r="L77" s="320"/>
      <c r="M77" s="319" t="s">
        <v>589</v>
      </c>
      <c r="N77" s="319" t="s">
        <v>592</v>
      </c>
      <c r="O77" s="319" t="s">
        <v>589</v>
      </c>
      <c r="P77" s="3"/>
      <c r="Q77" s="3"/>
      <c r="R77" s="3"/>
      <c r="S77" s="3"/>
      <c r="T77" s="178" t="e">
        <f>#REF!-#REF!</f>
        <v>#REF!</v>
      </c>
      <c r="U77" s="3"/>
      <c r="V77" s="8"/>
      <c r="W77" s="8"/>
      <c r="X77" s="8"/>
      <c r="Y77" s="8"/>
      <c r="Z77" s="8"/>
      <c r="AA77" s="8"/>
      <c r="AB77" s="8"/>
      <c r="AC77" s="8"/>
      <c r="AD77" s="8"/>
      <c r="AE77" s="8"/>
      <c r="AF77" s="8"/>
      <c r="AG77" s="8"/>
      <c r="AH77" s="8"/>
      <c r="AI77" s="8"/>
      <c r="AJ77" s="8"/>
      <c r="AK77" s="8"/>
      <c r="AL77" s="8"/>
      <c r="AM77" s="8"/>
      <c r="AN77" s="8"/>
      <c r="AO77" s="8"/>
      <c r="AP77" s="8"/>
      <c r="AQ77" s="3"/>
      <c r="AR77" s="3"/>
    </row>
    <row r="78" spans="1:45" s="218" customFormat="1">
      <c r="A78" s="303" t="s">
        <v>599</v>
      </c>
      <c r="B78" s="303">
        <f>N61</f>
        <v>11282</v>
      </c>
      <c r="C78" s="311">
        <f>Y61</f>
        <v>0</v>
      </c>
      <c r="D78" s="314">
        <f>B78*C78/100</f>
        <v>0</v>
      </c>
      <c r="E78" s="311">
        <f>Z61</f>
        <v>0</v>
      </c>
      <c r="F78" s="314">
        <f>B78*E78/100</f>
        <v>0</v>
      </c>
      <c r="G78" s="311">
        <f>AA61</f>
        <v>0</v>
      </c>
      <c r="H78" s="303"/>
      <c r="I78" s="304"/>
      <c r="J78" s="304"/>
      <c r="K78" s="304"/>
      <c r="L78" s="304"/>
      <c r="M78" s="314">
        <f>B78*G78/100</f>
        <v>0</v>
      </c>
      <c r="N78" s="311">
        <f>AB61</f>
        <v>0</v>
      </c>
      <c r="O78" s="314">
        <f>B78*N78/100</f>
        <v>0</v>
      </c>
      <c r="P78" s="3"/>
      <c r="Q78" s="3"/>
      <c r="R78" s="3"/>
      <c r="S78" s="3"/>
      <c r="T78" s="7"/>
      <c r="U78" s="16"/>
      <c r="V78" s="8"/>
      <c r="W78" s="8"/>
      <c r="X78" s="8"/>
      <c r="Y78" s="8"/>
      <c r="Z78" s="8"/>
      <c r="AA78" s="8"/>
      <c r="AB78" s="8"/>
      <c r="AC78" s="8"/>
      <c r="AD78" s="8"/>
      <c r="AE78" s="8"/>
      <c r="AF78" s="8"/>
      <c r="AG78" s="8"/>
      <c r="AH78" s="8"/>
      <c r="AI78" s="8"/>
      <c r="AJ78" s="8"/>
      <c r="AK78" s="8"/>
      <c r="AL78" s="8"/>
      <c r="AM78" s="8"/>
      <c r="AN78" s="8"/>
      <c r="AO78" s="8"/>
      <c r="AP78" s="8"/>
      <c r="AQ78" s="3"/>
      <c r="AR78" s="3"/>
    </row>
    <row r="79" spans="1:45" s="218" customFormat="1" ht="23.25">
      <c r="A79" s="303" t="s">
        <v>18</v>
      </c>
      <c r="B79" s="314">
        <v>1</v>
      </c>
      <c r="C79" s="314">
        <f>Y62</f>
        <v>0</v>
      </c>
      <c r="D79" s="314">
        <f>B79*C79/100</f>
        <v>0</v>
      </c>
      <c r="E79" s="314">
        <f>Z62</f>
        <v>0</v>
      </c>
      <c r="F79" s="314">
        <f>B79*E79/100</f>
        <v>0</v>
      </c>
      <c r="G79" s="314">
        <f>AA62</f>
        <v>0</v>
      </c>
      <c r="H79" s="303"/>
      <c r="I79" s="304"/>
      <c r="J79" s="304"/>
      <c r="K79" s="304"/>
      <c r="L79" s="304"/>
      <c r="M79" s="314">
        <f>B79*G79/100</f>
        <v>0</v>
      </c>
      <c r="N79" s="314">
        <f>AB62</f>
        <v>0</v>
      </c>
      <c r="O79" s="314">
        <f>B79*N79/100</f>
        <v>0</v>
      </c>
      <c r="P79" s="3"/>
      <c r="Q79" s="3"/>
      <c r="R79" s="3"/>
      <c r="S79" s="3"/>
      <c r="T79" s="7"/>
      <c r="U79" s="3"/>
      <c r="V79" s="8"/>
      <c r="W79" s="8"/>
      <c r="X79" s="14"/>
      <c r="Y79" s="286"/>
      <c r="Z79" s="286"/>
      <c r="AA79" s="286"/>
      <c r="AB79" s="286"/>
      <c r="AC79" s="286"/>
      <c r="AD79" s="286"/>
      <c r="AE79" s="286"/>
      <c r="AF79" s="286"/>
      <c r="AG79" s="286"/>
      <c r="AH79" s="286"/>
      <c r="AI79" s="286"/>
      <c r="AJ79" s="286"/>
      <c r="AK79" s="286"/>
      <c r="AL79" s="286"/>
      <c r="AM79" s="286"/>
      <c r="AN79" s="286"/>
      <c r="AO79" s="286"/>
      <c r="AP79" s="286"/>
      <c r="AQ79" s="15" t="e">
        <f>X79-#REF!</f>
        <v>#REF!</v>
      </c>
      <c r="AR79" s="3"/>
    </row>
    <row r="80" spans="1:45" s="218" customFormat="1" ht="15" customHeight="1">
      <c r="A80" s="7"/>
      <c r="B80" s="7"/>
      <c r="C80" s="7"/>
      <c r="D80" s="7"/>
      <c r="E80" s="7"/>
      <c r="F80" s="7"/>
      <c r="G80" s="7"/>
      <c r="H80" s="7"/>
      <c r="I80" s="306"/>
      <c r="J80" s="306"/>
      <c r="K80" s="306"/>
      <c r="L80" s="306"/>
      <c r="M80" s="307"/>
      <c r="N80" s="7"/>
      <c r="O80" s="3"/>
      <c r="P80" s="3"/>
      <c r="Q80" s="3"/>
      <c r="R80" s="3"/>
      <c r="S80" s="3"/>
      <c r="T80" s="7"/>
      <c r="U80" s="3"/>
      <c r="V80" s="8"/>
      <c r="W80" s="8"/>
      <c r="X80" s="8"/>
      <c r="Y80" s="8"/>
      <c r="Z80" s="8"/>
      <c r="AA80" s="8"/>
      <c r="AB80" s="8"/>
      <c r="AC80" s="8"/>
      <c r="AD80" s="8"/>
      <c r="AE80" s="8"/>
      <c r="AF80" s="8"/>
      <c r="AG80" s="8"/>
      <c r="AH80" s="8"/>
      <c r="AI80" s="8"/>
      <c r="AJ80" s="8"/>
      <c r="AK80" s="8"/>
      <c r="AL80" s="8"/>
      <c r="AM80" s="8"/>
      <c r="AN80" s="8"/>
      <c r="AO80" s="8"/>
      <c r="AP80" s="8"/>
      <c r="AQ80" s="3"/>
      <c r="AR80" s="3"/>
    </row>
    <row r="81" spans="1:44" s="218" customFormat="1" ht="15">
      <c r="A81" s="878" t="s">
        <v>602</v>
      </c>
      <c r="B81" s="878"/>
      <c r="C81" s="878"/>
      <c r="D81" s="878"/>
      <c r="E81" s="878"/>
      <c r="F81" s="878"/>
      <c r="G81" s="878"/>
      <c r="H81" s="878"/>
      <c r="I81" s="878"/>
      <c r="J81" s="878"/>
      <c r="K81" s="878"/>
      <c r="L81" s="878"/>
      <c r="M81" s="878"/>
      <c r="N81" s="878"/>
      <c r="O81" s="3"/>
      <c r="P81" s="3"/>
      <c r="Q81" s="3"/>
      <c r="R81" s="3"/>
      <c r="S81" s="3"/>
      <c r="T81" s="178" t="e">
        <f>#REF!-#REF!</f>
        <v>#REF!</v>
      </c>
      <c r="U81" s="3"/>
      <c r="V81" s="8"/>
      <c r="W81" s="8"/>
      <c r="X81" s="8"/>
      <c r="Y81" s="8"/>
      <c r="Z81" s="8"/>
      <c r="AA81" s="8"/>
      <c r="AB81" s="8"/>
      <c r="AC81" s="8"/>
      <c r="AD81" s="8"/>
      <c r="AE81" s="8"/>
      <c r="AF81" s="8"/>
      <c r="AG81" s="8"/>
      <c r="AH81" s="8"/>
      <c r="AI81" s="8"/>
      <c r="AJ81" s="8"/>
      <c r="AK81" s="8"/>
      <c r="AL81" s="8"/>
      <c r="AM81" s="8"/>
      <c r="AN81" s="8"/>
      <c r="AO81" s="8"/>
      <c r="AP81" s="8"/>
      <c r="AQ81" s="3"/>
      <c r="AR81" s="3"/>
    </row>
    <row r="82" spans="1:44" s="218" customFormat="1" ht="45">
      <c r="A82" s="316" t="s">
        <v>593</v>
      </c>
      <c r="B82" s="316" t="s">
        <v>594</v>
      </c>
      <c r="C82" s="316" t="s">
        <v>589</v>
      </c>
      <c r="D82" s="316" t="s">
        <v>595</v>
      </c>
      <c r="E82" s="316" t="s">
        <v>589</v>
      </c>
      <c r="F82" s="316" t="s">
        <v>596</v>
      </c>
      <c r="G82" s="316" t="s">
        <v>589</v>
      </c>
      <c r="H82" s="316"/>
      <c r="I82" s="317"/>
      <c r="J82" s="317"/>
      <c r="K82" s="317"/>
      <c r="L82" s="317"/>
      <c r="M82" s="316" t="s">
        <v>597</v>
      </c>
      <c r="N82" s="316" t="s">
        <v>589</v>
      </c>
      <c r="O82" s="3"/>
      <c r="P82" s="3"/>
      <c r="Q82" s="3"/>
      <c r="R82" s="3"/>
      <c r="S82" s="3"/>
      <c r="T82" s="7"/>
      <c r="U82" s="3"/>
      <c r="V82" s="8"/>
      <c r="W82" s="8"/>
      <c r="X82" s="8"/>
      <c r="Y82" s="8"/>
      <c r="Z82" s="8"/>
      <c r="AA82" s="8"/>
      <c r="AB82" s="8"/>
      <c r="AC82" s="8"/>
      <c r="AD82" s="8"/>
      <c r="AE82" s="8"/>
      <c r="AF82" s="8"/>
      <c r="AG82" s="8"/>
      <c r="AH82" s="8"/>
      <c r="AI82" s="8"/>
      <c r="AJ82" s="8"/>
      <c r="AK82" s="8"/>
      <c r="AL82" s="8"/>
      <c r="AM82" s="8"/>
      <c r="AN82" s="8"/>
      <c r="AO82" s="8"/>
      <c r="AP82" s="8"/>
      <c r="AQ82" s="3"/>
      <c r="AR82" s="3"/>
    </row>
    <row r="83" spans="1:44" s="218" customFormat="1">
      <c r="A83" s="309">
        <f>X61</f>
        <v>56711634345</v>
      </c>
      <c r="B83" s="309">
        <f>AC61</f>
        <v>17771520610</v>
      </c>
      <c r="C83" s="315">
        <f>A83*B83/100</f>
        <v>1.0078519785889513E+19</v>
      </c>
      <c r="D83" s="309">
        <f>AD61</f>
        <v>8718716884</v>
      </c>
      <c r="E83" s="314">
        <f>A83*D83/100</f>
        <v>4.9445268388298578E+18</v>
      </c>
      <c r="F83" s="309">
        <f>AE49</f>
        <v>0</v>
      </c>
      <c r="G83" s="314">
        <f>A83*F83/100</f>
        <v>0</v>
      </c>
      <c r="H83" s="303"/>
      <c r="I83" s="304"/>
      <c r="J83" s="304"/>
      <c r="K83" s="304"/>
      <c r="L83" s="304"/>
      <c r="M83" s="325">
        <f>AF49</f>
        <v>0</v>
      </c>
      <c r="N83" s="314">
        <f>A83*M83/100</f>
        <v>0</v>
      </c>
      <c r="O83" s="3"/>
      <c r="P83" s="3"/>
      <c r="Q83" s="3"/>
      <c r="R83" s="3"/>
      <c r="S83" s="3"/>
      <c r="T83" s="7"/>
      <c r="U83" s="3"/>
      <c r="V83" s="8"/>
      <c r="W83" s="8"/>
      <c r="X83" s="8"/>
      <c r="Y83" s="8"/>
      <c r="Z83" s="8"/>
      <c r="AA83" s="8"/>
      <c r="AB83" s="8"/>
      <c r="AC83" s="8"/>
      <c r="AD83" s="8"/>
      <c r="AE83" s="8"/>
      <c r="AF83" s="8"/>
      <c r="AG83" s="8"/>
      <c r="AH83" s="8"/>
      <c r="AI83" s="8"/>
      <c r="AJ83" s="8"/>
      <c r="AK83" s="8"/>
      <c r="AL83" s="8"/>
      <c r="AM83" s="8"/>
      <c r="AN83" s="8"/>
      <c r="AO83" s="8"/>
      <c r="AP83" s="8"/>
      <c r="AQ83" s="3"/>
      <c r="AR83" s="3"/>
    </row>
    <row r="84" spans="1:44" s="218" customFormat="1">
      <c r="A84" s="303"/>
      <c r="B84" s="303"/>
      <c r="C84" s="303"/>
      <c r="D84" s="303"/>
      <c r="E84" s="303"/>
      <c r="F84" s="303"/>
      <c r="G84" s="303"/>
      <c r="H84" s="303"/>
      <c r="I84" s="304"/>
      <c r="J84" s="304"/>
      <c r="K84" s="304"/>
      <c r="L84" s="304"/>
      <c r="M84" s="305"/>
      <c r="N84" s="303"/>
      <c r="O84" s="3"/>
      <c r="P84" s="3"/>
      <c r="Q84" s="3"/>
      <c r="R84" s="3"/>
      <c r="S84" s="3"/>
      <c r="T84" s="7"/>
      <c r="U84" s="3"/>
      <c r="V84" s="8"/>
      <c r="W84" s="8"/>
      <c r="X84" s="8"/>
      <c r="Y84" s="8"/>
      <c r="Z84" s="8"/>
      <c r="AA84" s="8"/>
      <c r="AB84" s="8"/>
      <c r="AC84" s="8"/>
      <c r="AD84" s="8"/>
      <c r="AE84" s="8"/>
      <c r="AF84" s="8"/>
      <c r="AG84" s="8"/>
      <c r="AH84" s="8"/>
      <c r="AI84" s="8"/>
      <c r="AJ84" s="8"/>
      <c r="AK84" s="8"/>
      <c r="AL84" s="8"/>
      <c r="AM84" s="8"/>
      <c r="AN84" s="8"/>
      <c r="AO84" s="8"/>
      <c r="AP84" s="8"/>
      <c r="AQ84" s="3"/>
      <c r="AR84" s="3"/>
    </row>
    <row r="85" spans="1:44" s="218" customFormat="1" ht="15" customHeight="1">
      <c r="A85" s="3"/>
      <c r="B85" s="3"/>
      <c r="C85" s="3"/>
      <c r="D85" s="3"/>
      <c r="E85" s="3"/>
      <c r="F85" s="3"/>
      <c r="G85" s="3"/>
      <c r="H85" s="3"/>
      <c r="M85" s="5"/>
      <c r="N85" s="3"/>
      <c r="O85" s="3"/>
      <c r="P85" s="3"/>
      <c r="Q85" s="3"/>
      <c r="R85" s="3"/>
      <c r="S85" s="3"/>
      <c r="T85" s="7"/>
      <c r="U85" s="3"/>
      <c r="V85" s="8"/>
      <c r="W85" s="8"/>
      <c r="X85" s="8"/>
      <c r="Y85" s="8"/>
      <c r="Z85" s="8"/>
      <c r="AA85" s="8"/>
      <c r="AB85" s="8"/>
      <c r="AC85" s="8"/>
      <c r="AD85" s="8"/>
      <c r="AE85" s="8"/>
      <c r="AF85" s="8"/>
      <c r="AG85" s="8"/>
      <c r="AH85" s="8"/>
      <c r="AI85" s="8"/>
      <c r="AJ85" s="8"/>
      <c r="AK85" s="8"/>
      <c r="AL85" s="8"/>
      <c r="AM85" s="8"/>
      <c r="AN85" s="8"/>
      <c r="AO85" s="8"/>
      <c r="AP85" s="8"/>
      <c r="AQ85" s="3"/>
      <c r="AR85" s="3"/>
    </row>
    <row r="86" spans="1:44" s="218" customFormat="1" ht="15">
      <c r="A86" s="877" t="s">
        <v>603</v>
      </c>
      <c r="B86" s="877"/>
      <c r="C86" s="877"/>
      <c r="D86" s="877"/>
      <c r="E86" s="877"/>
      <c r="F86" s="877"/>
      <c r="G86" s="877"/>
      <c r="H86" s="877"/>
      <c r="I86" s="877"/>
      <c r="J86" s="877"/>
      <c r="K86" s="877"/>
      <c r="L86" s="877"/>
      <c r="M86" s="877"/>
      <c r="N86" s="877"/>
      <c r="O86" s="877"/>
      <c r="P86" s="3"/>
      <c r="Q86" s="3"/>
      <c r="R86" s="3"/>
      <c r="S86" s="3"/>
      <c r="T86" s="7"/>
      <c r="U86" s="3"/>
      <c r="V86" s="8"/>
      <c r="W86" s="8"/>
      <c r="X86" s="8"/>
      <c r="Y86" s="8"/>
      <c r="Z86" s="8"/>
      <c r="AA86" s="8"/>
      <c r="AB86" s="8"/>
      <c r="AC86" s="8"/>
      <c r="AD86" s="8"/>
      <c r="AE86" s="8"/>
      <c r="AF86" s="8"/>
      <c r="AG86" s="8"/>
      <c r="AH86" s="8"/>
      <c r="AI86" s="8"/>
      <c r="AJ86" s="8"/>
      <c r="AK86" s="8"/>
      <c r="AL86" s="8"/>
      <c r="AM86" s="8"/>
      <c r="AN86" s="8"/>
      <c r="AO86" s="8"/>
      <c r="AP86" s="8"/>
      <c r="AQ86" s="3"/>
      <c r="AR86" s="3"/>
    </row>
    <row r="87" spans="1:44" s="218" customFormat="1" ht="90">
      <c r="A87" s="318" t="s">
        <v>598</v>
      </c>
      <c r="B87" s="319" t="s">
        <v>587</v>
      </c>
      <c r="C87" s="319" t="s">
        <v>588</v>
      </c>
      <c r="D87" s="319" t="s">
        <v>589</v>
      </c>
      <c r="E87" s="319" t="s">
        <v>590</v>
      </c>
      <c r="F87" s="319" t="s">
        <v>589</v>
      </c>
      <c r="G87" s="319" t="s">
        <v>591</v>
      </c>
      <c r="H87" s="319" t="s">
        <v>589</v>
      </c>
      <c r="I87" s="319"/>
      <c r="J87" s="320"/>
      <c r="K87" s="320"/>
      <c r="L87" s="320"/>
      <c r="M87" s="319" t="s">
        <v>589</v>
      </c>
      <c r="N87" s="319" t="s">
        <v>592</v>
      </c>
      <c r="O87" s="319" t="s">
        <v>589</v>
      </c>
      <c r="P87" s="3"/>
      <c r="Q87" s="3"/>
      <c r="R87" s="3"/>
      <c r="S87" s="3"/>
      <c r="T87" s="7"/>
      <c r="U87" s="3"/>
      <c r="V87" s="8"/>
      <c r="W87" s="8"/>
      <c r="X87" s="8"/>
      <c r="Y87" s="8"/>
      <c r="Z87" s="8"/>
      <c r="AA87" s="8"/>
      <c r="AB87" s="8"/>
      <c r="AC87" s="8"/>
      <c r="AD87" s="8"/>
      <c r="AE87" s="8"/>
      <c r="AF87" s="8"/>
      <c r="AG87" s="8"/>
      <c r="AH87" s="8"/>
      <c r="AI87" s="8"/>
      <c r="AJ87" s="8"/>
      <c r="AK87" s="8"/>
      <c r="AL87" s="8"/>
      <c r="AM87" s="8"/>
      <c r="AN87" s="8"/>
      <c r="AO87" s="8"/>
      <c r="AP87" s="8"/>
      <c r="AQ87" s="3"/>
      <c r="AR87" s="3"/>
    </row>
    <row r="88" spans="1:44" s="218" customFormat="1">
      <c r="A88" s="303" t="s">
        <v>599</v>
      </c>
      <c r="B88" s="303">
        <f>N72</f>
        <v>7</v>
      </c>
      <c r="C88" s="311">
        <f>Y72</f>
        <v>0</v>
      </c>
      <c r="D88" s="314">
        <f>B88*C88/100</f>
        <v>0</v>
      </c>
      <c r="E88" s="311">
        <f>Z72</f>
        <v>0</v>
      </c>
      <c r="F88" s="314">
        <f>B88*E88/100</f>
        <v>0</v>
      </c>
      <c r="G88" s="311">
        <f>AA72</f>
        <v>0</v>
      </c>
      <c r="H88" s="303"/>
      <c r="I88" s="304"/>
      <c r="J88" s="304"/>
      <c r="K88" s="304"/>
      <c r="L88" s="304"/>
      <c r="M88" s="314">
        <f>B88*G88/100</f>
        <v>0</v>
      </c>
      <c r="N88" s="311">
        <f>AB72</f>
        <v>0</v>
      </c>
      <c r="O88" s="314">
        <f>B88*N88/100</f>
        <v>0</v>
      </c>
      <c r="P88" s="3"/>
      <c r="Q88" s="3"/>
      <c r="R88" s="3"/>
      <c r="S88" s="3"/>
      <c r="T88" s="7"/>
      <c r="U88" s="3"/>
      <c r="V88" s="8"/>
      <c r="W88" s="8"/>
      <c r="X88" s="8"/>
      <c r="Y88" s="8"/>
      <c r="Z88" s="8"/>
      <c r="AA88" s="8"/>
      <c r="AB88" s="8"/>
      <c r="AC88" s="8"/>
      <c r="AD88" s="8"/>
      <c r="AE88" s="8"/>
      <c r="AF88" s="8"/>
      <c r="AG88" s="8"/>
      <c r="AH88" s="8"/>
      <c r="AI88" s="8"/>
      <c r="AJ88" s="8"/>
      <c r="AK88" s="8"/>
      <c r="AL88" s="8"/>
      <c r="AM88" s="8"/>
      <c r="AN88" s="8"/>
      <c r="AO88" s="8"/>
      <c r="AP88" s="8"/>
      <c r="AQ88" s="3"/>
      <c r="AR88" s="3"/>
    </row>
    <row r="89" spans="1:44" s="218" customFormat="1">
      <c r="A89" s="303" t="s">
        <v>18</v>
      </c>
      <c r="B89" s="314">
        <v>1</v>
      </c>
      <c r="C89" s="314">
        <f>Y73</f>
        <v>0</v>
      </c>
      <c r="D89" s="314">
        <v>0</v>
      </c>
      <c r="E89" s="314">
        <f>Z73</f>
        <v>0</v>
      </c>
      <c r="F89" s="314">
        <f>B89*E89/100</f>
        <v>0</v>
      </c>
      <c r="G89" s="314">
        <f>AA73</f>
        <v>0</v>
      </c>
      <c r="H89" s="303"/>
      <c r="I89" s="304"/>
      <c r="J89" s="304"/>
      <c r="K89" s="304"/>
      <c r="L89" s="304"/>
      <c r="M89" s="314">
        <f>B89*G89/100</f>
        <v>0</v>
      </c>
      <c r="N89" s="314">
        <f>AB73</f>
        <v>0</v>
      </c>
      <c r="O89" s="314">
        <f>B89*N89/100</f>
        <v>0</v>
      </c>
      <c r="P89" s="3"/>
      <c r="Q89" s="3"/>
      <c r="R89" s="3"/>
      <c r="S89" s="3"/>
      <c r="T89" s="7"/>
      <c r="U89" s="3"/>
      <c r="V89" s="8"/>
      <c r="W89" s="8"/>
      <c r="X89" s="8"/>
      <c r="Y89" s="8"/>
      <c r="Z89" s="8"/>
      <c r="AA89" s="8"/>
      <c r="AB89" s="8"/>
      <c r="AC89" s="8"/>
      <c r="AD89" s="8"/>
      <c r="AE89" s="8"/>
      <c r="AF89" s="8"/>
      <c r="AG89" s="8"/>
      <c r="AH89" s="8"/>
      <c r="AI89" s="8"/>
      <c r="AJ89" s="8"/>
      <c r="AK89" s="8"/>
      <c r="AL89" s="8"/>
      <c r="AM89" s="8"/>
      <c r="AN89" s="8"/>
      <c r="AO89" s="8"/>
      <c r="AP89" s="8"/>
      <c r="AQ89" s="3"/>
      <c r="AR89" s="3"/>
    </row>
    <row r="90" spans="1:44" s="218" customFormat="1" ht="15" customHeight="1">
      <c r="A90" s="7"/>
      <c r="B90" s="7"/>
      <c r="C90" s="7"/>
      <c r="D90" s="7"/>
      <c r="E90" s="7"/>
      <c r="F90" s="7"/>
      <c r="G90" s="7"/>
      <c r="H90" s="7"/>
      <c r="I90" s="306"/>
      <c r="J90" s="306"/>
      <c r="K90" s="306"/>
      <c r="L90" s="306"/>
      <c r="M90" s="307"/>
      <c r="N90" s="7"/>
      <c r="O90" s="3"/>
      <c r="P90" s="3"/>
      <c r="Q90" s="3"/>
      <c r="R90" s="3"/>
      <c r="S90" s="3"/>
      <c r="T90" s="7"/>
      <c r="U90" s="3"/>
      <c r="V90" s="8"/>
      <c r="W90" s="8"/>
      <c r="X90" s="8"/>
      <c r="Y90" s="8"/>
      <c r="Z90" s="8"/>
      <c r="AA90" s="8"/>
      <c r="AB90" s="8"/>
      <c r="AC90" s="8"/>
      <c r="AD90" s="8"/>
      <c r="AE90" s="8"/>
      <c r="AF90" s="8"/>
      <c r="AG90" s="8"/>
      <c r="AH90" s="8"/>
      <c r="AI90" s="8"/>
      <c r="AJ90" s="8"/>
      <c r="AK90" s="8"/>
      <c r="AL90" s="8"/>
      <c r="AM90" s="8"/>
      <c r="AN90" s="8"/>
      <c r="AO90" s="8"/>
      <c r="AP90" s="8"/>
      <c r="AQ90" s="3"/>
      <c r="AR90" s="3"/>
    </row>
    <row r="91" spans="1:44" s="218" customFormat="1" ht="15">
      <c r="A91" s="878" t="s">
        <v>604</v>
      </c>
      <c r="B91" s="878"/>
      <c r="C91" s="878"/>
      <c r="D91" s="878"/>
      <c r="E91" s="878"/>
      <c r="F91" s="878"/>
      <c r="G91" s="878"/>
      <c r="H91" s="878"/>
      <c r="I91" s="878"/>
      <c r="J91" s="878"/>
      <c r="K91" s="878"/>
      <c r="L91" s="878"/>
      <c r="M91" s="878"/>
      <c r="N91" s="878"/>
      <c r="O91" s="3"/>
      <c r="P91" s="3"/>
      <c r="Q91" s="3"/>
      <c r="R91" s="3"/>
      <c r="S91" s="3"/>
      <c r="T91" s="7"/>
      <c r="U91" s="3"/>
      <c r="V91" s="8"/>
      <c r="W91" s="8"/>
      <c r="X91" s="8"/>
      <c r="Y91" s="8"/>
      <c r="Z91" s="8"/>
      <c r="AA91" s="8"/>
      <c r="AB91" s="8"/>
      <c r="AC91" s="8"/>
      <c r="AD91" s="8"/>
      <c r="AE91" s="8"/>
      <c r="AF91" s="8"/>
      <c r="AG91" s="8"/>
      <c r="AH91" s="8"/>
      <c r="AI91" s="8"/>
      <c r="AJ91" s="8"/>
      <c r="AK91" s="8"/>
      <c r="AL91" s="8"/>
      <c r="AM91" s="8"/>
      <c r="AN91" s="8"/>
      <c r="AO91" s="8"/>
      <c r="AP91" s="8"/>
      <c r="AQ91" s="3"/>
      <c r="AR91" s="3"/>
    </row>
    <row r="92" spans="1:44" s="218" customFormat="1" ht="45">
      <c r="A92" s="316" t="s">
        <v>593</v>
      </c>
      <c r="B92" s="316" t="s">
        <v>594</v>
      </c>
      <c r="C92" s="316" t="s">
        <v>589</v>
      </c>
      <c r="D92" s="316" t="s">
        <v>595</v>
      </c>
      <c r="E92" s="316" t="s">
        <v>589</v>
      </c>
      <c r="F92" s="316" t="s">
        <v>596</v>
      </c>
      <c r="G92" s="316" t="s">
        <v>589</v>
      </c>
      <c r="H92" s="316"/>
      <c r="I92" s="317"/>
      <c r="J92" s="317"/>
      <c r="K92" s="317"/>
      <c r="L92" s="317"/>
      <c r="M92" s="316" t="s">
        <v>597</v>
      </c>
      <c r="N92" s="316" t="s">
        <v>589</v>
      </c>
      <c r="O92" s="3"/>
      <c r="P92" s="3"/>
      <c r="Q92" s="3"/>
      <c r="R92" s="3"/>
      <c r="S92" s="3"/>
      <c r="T92" s="7"/>
      <c r="U92" s="3"/>
      <c r="V92" s="8"/>
      <c r="W92" s="8"/>
      <c r="X92" s="8"/>
      <c r="Y92" s="8"/>
      <c r="Z92" s="8"/>
      <c r="AA92" s="8"/>
      <c r="AB92" s="8"/>
      <c r="AC92" s="8"/>
      <c r="AD92" s="8"/>
      <c r="AE92" s="8"/>
      <c r="AF92" s="8"/>
      <c r="AG92" s="8"/>
      <c r="AH92" s="8"/>
      <c r="AI92" s="8"/>
      <c r="AJ92" s="8"/>
      <c r="AK92" s="8"/>
      <c r="AL92" s="8"/>
      <c r="AM92" s="8"/>
      <c r="AN92" s="8"/>
      <c r="AO92" s="8"/>
      <c r="AP92" s="8"/>
      <c r="AQ92" s="3"/>
      <c r="AR92" s="3"/>
    </row>
    <row r="93" spans="1:44" s="218" customFormat="1" ht="15">
      <c r="A93" s="321">
        <f>X71</f>
        <v>400000000</v>
      </c>
      <c r="B93" s="321">
        <f>AC71</f>
        <v>133808605</v>
      </c>
      <c r="C93" s="363">
        <f>A93*B93/100</f>
        <v>535234420000000</v>
      </c>
      <c r="D93" s="321">
        <f>AD71</f>
        <v>63501578</v>
      </c>
      <c r="E93" s="364">
        <f>A93*D93/100</f>
        <v>254006312000000</v>
      </c>
      <c r="F93" s="321">
        <f>AE71</f>
        <v>0</v>
      </c>
      <c r="G93" s="364">
        <f>A93*F93/100</f>
        <v>0</v>
      </c>
      <c r="H93" s="308"/>
      <c r="I93" s="322"/>
      <c r="J93" s="322"/>
      <c r="K93" s="322"/>
      <c r="L93" s="322"/>
      <c r="M93" s="326">
        <f>AF71</f>
        <v>0</v>
      </c>
      <c r="N93" s="364">
        <f>A93*M93/100</f>
        <v>0</v>
      </c>
      <c r="O93" s="3"/>
      <c r="P93" s="3"/>
      <c r="Q93" s="3"/>
      <c r="R93" s="3"/>
      <c r="S93" s="3"/>
      <c r="T93" s="7"/>
      <c r="U93" s="3"/>
      <c r="V93" s="8"/>
      <c r="W93" s="8"/>
      <c r="X93" s="8"/>
      <c r="Y93" s="8"/>
      <c r="Z93" s="8"/>
      <c r="AA93" s="8"/>
      <c r="AB93" s="8"/>
      <c r="AC93" s="8"/>
      <c r="AD93" s="8"/>
      <c r="AE93" s="8"/>
      <c r="AF93" s="8"/>
      <c r="AG93" s="8"/>
      <c r="AH93" s="8"/>
      <c r="AI93" s="8"/>
      <c r="AJ93" s="8"/>
      <c r="AK93" s="8"/>
      <c r="AL93" s="8"/>
      <c r="AM93" s="8"/>
      <c r="AN93" s="8"/>
      <c r="AO93" s="8"/>
      <c r="AP93" s="8"/>
      <c r="AQ93" s="3"/>
      <c r="AR93" s="3"/>
    </row>
    <row r="94" spans="1:44" s="218" customFormat="1">
      <c r="A94" s="303"/>
      <c r="B94" s="303"/>
      <c r="C94" s="303"/>
      <c r="D94" s="303"/>
      <c r="E94" s="303"/>
      <c r="F94" s="303"/>
      <c r="G94" s="303"/>
      <c r="H94" s="303"/>
      <c r="I94" s="304"/>
      <c r="J94" s="304"/>
      <c r="K94" s="304"/>
      <c r="L94" s="304"/>
      <c r="M94" s="305"/>
      <c r="N94" s="303"/>
      <c r="O94" s="3"/>
      <c r="P94" s="3"/>
      <c r="Q94" s="3"/>
      <c r="R94" s="3"/>
      <c r="S94" s="3"/>
      <c r="T94" s="7"/>
      <c r="U94" s="3"/>
      <c r="V94" s="8"/>
      <c r="W94" s="8"/>
      <c r="X94" s="8"/>
      <c r="Y94" s="8"/>
      <c r="Z94" s="8"/>
      <c r="AA94" s="8"/>
      <c r="AB94" s="8"/>
      <c r="AC94" s="8"/>
      <c r="AD94" s="8"/>
      <c r="AE94" s="8"/>
      <c r="AF94" s="8"/>
      <c r="AG94" s="8"/>
      <c r="AH94" s="8"/>
      <c r="AI94" s="8"/>
      <c r="AJ94" s="8"/>
      <c r="AK94" s="8"/>
      <c r="AL94" s="8"/>
      <c r="AM94" s="8"/>
      <c r="AN94" s="8"/>
      <c r="AO94" s="8"/>
      <c r="AP94" s="8"/>
      <c r="AQ94" s="3"/>
      <c r="AR94" s="3"/>
    </row>
    <row r="95" spans="1:44" s="218" customFormat="1">
      <c r="A95" s="3"/>
      <c r="B95" s="3"/>
      <c r="C95" s="3"/>
      <c r="D95" s="3"/>
      <c r="E95" s="3"/>
      <c r="F95" s="3"/>
      <c r="G95" s="3"/>
      <c r="H95" s="3"/>
      <c r="M95" s="5"/>
      <c r="N95" s="3"/>
      <c r="O95" s="3"/>
      <c r="P95" s="3"/>
      <c r="Q95" s="3"/>
      <c r="R95" s="3"/>
      <c r="S95" s="3"/>
      <c r="T95" s="7"/>
      <c r="U95" s="3"/>
      <c r="V95" s="8"/>
      <c r="W95" s="8"/>
      <c r="X95" s="8"/>
      <c r="Y95" s="8"/>
      <c r="Z95" s="8"/>
      <c r="AA95" s="8"/>
      <c r="AB95" s="8"/>
      <c r="AC95" s="8"/>
      <c r="AD95" s="8"/>
      <c r="AE95" s="8"/>
      <c r="AF95" s="8"/>
      <c r="AG95" s="8"/>
      <c r="AH95" s="8"/>
      <c r="AI95" s="8"/>
      <c r="AJ95" s="8"/>
      <c r="AK95" s="8"/>
      <c r="AL95" s="8"/>
      <c r="AM95" s="8"/>
      <c r="AN95" s="8"/>
      <c r="AO95" s="8"/>
      <c r="AP95" s="8"/>
      <c r="AQ95" s="3"/>
      <c r="AR95" s="3"/>
    </row>
    <row r="96" spans="1:44" s="218" customFormat="1" ht="15" customHeight="1">
      <c r="A96" s="3"/>
      <c r="B96" s="3"/>
      <c r="C96" s="3"/>
      <c r="D96" s="3"/>
      <c r="E96" s="3"/>
      <c r="F96" s="3"/>
      <c r="G96" s="3"/>
      <c r="H96" s="3"/>
      <c r="I96" s="2"/>
      <c r="J96" s="2"/>
      <c r="K96" s="2"/>
      <c r="L96" s="2"/>
      <c r="M96" s="5"/>
      <c r="N96" s="3"/>
      <c r="O96" s="3"/>
      <c r="P96" s="3"/>
      <c r="Q96" s="3"/>
      <c r="R96" s="3"/>
      <c r="S96" s="3"/>
      <c r="T96" s="7"/>
      <c r="U96" s="3"/>
      <c r="V96" s="8"/>
      <c r="W96" s="8"/>
      <c r="X96" s="8"/>
      <c r="Y96" s="8"/>
      <c r="Z96" s="8"/>
      <c r="AA96" s="8"/>
      <c r="AB96" s="8"/>
      <c r="AC96" s="8"/>
      <c r="AD96" s="8"/>
      <c r="AE96" s="8"/>
      <c r="AF96" s="8"/>
      <c r="AG96" s="8"/>
      <c r="AH96" s="8"/>
      <c r="AI96" s="8"/>
      <c r="AJ96" s="8"/>
      <c r="AK96" s="8"/>
      <c r="AL96" s="8"/>
      <c r="AM96" s="8"/>
      <c r="AN96" s="8"/>
      <c r="AO96" s="8"/>
      <c r="AP96" s="8"/>
      <c r="AQ96" s="3"/>
      <c r="AR96" s="3"/>
    </row>
    <row r="97" spans="1:15" ht="15">
      <c r="A97" s="877" t="s">
        <v>600</v>
      </c>
      <c r="B97" s="877"/>
      <c r="C97" s="877"/>
      <c r="D97" s="877"/>
      <c r="E97" s="877"/>
      <c r="F97" s="877"/>
      <c r="G97" s="877"/>
      <c r="H97" s="877"/>
      <c r="I97" s="877"/>
      <c r="J97" s="877"/>
      <c r="K97" s="877"/>
      <c r="L97" s="877"/>
      <c r="M97" s="877"/>
      <c r="N97" s="877"/>
      <c r="O97" s="877"/>
    </row>
    <row r="98" spans="1:15" ht="90">
      <c r="A98" s="318" t="s">
        <v>598</v>
      </c>
      <c r="B98" s="319" t="s">
        <v>587</v>
      </c>
      <c r="C98" s="319" t="s">
        <v>588</v>
      </c>
      <c r="D98" s="319" t="s">
        <v>589</v>
      </c>
      <c r="E98" s="319" t="s">
        <v>590</v>
      </c>
      <c r="F98" s="319" t="s">
        <v>589</v>
      </c>
      <c r="G98" s="319" t="s">
        <v>591</v>
      </c>
      <c r="H98" s="319" t="s">
        <v>589</v>
      </c>
      <c r="I98" s="319"/>
      <c r="J98" s="320"/>
      <c r="K98" s="320"/>
      <c r="L98" s="320"/>
      <c r="M98" s="319" t="s">
        <v>589</v>
      </c>
      <c r="N98" s="319" t="s">
        <v>592</v>
      </c>
      <c r="O98" s="319" t="s">
        <v>589</v>
      </c>
    </row>
    <row r="99" spans="1:15">
      <c r="A99" s="303" t="s">
        <v>599</v>
      </c>
      <c r="B99" s="303">
        <f>B88+B78</f>
        <v>11289</v>
      </c>
      <c r="C99" s="311">
        <f>C88+C78</f>
        <v>0</v>
      </c>
      <c r="D99" s="314">
        <f>B99*C99/100</f>
        <v>0</v>
      </c>
      <c r="E99" s="303">
        <f>E88+E78</f>
        <v>0</v>
      </c>
      <c r="F99" s="314">
        <f>B99*E99/100</f>
        <v>0</v>
      </c>
      <c r="G99" s="303">
        <f>G88+G78</f>
        <v>0</v>
      </c>
      <c r="H99" s="303"/>
      <c r="I99" s="304"/>
      <c r="J99" s="304"/>
      <c r="K99" s="304"/>
      <c r="L99" s="304"/>
      <c r="M99" s="314">
        <f>B99*G99/100</f>
        <v>0</v>
      </c>
      <c r="N99" s="303">
        <f>N88+N78</f>
        <v>0</v>
      </c>
      <c r="O99" s="314">
        <f>B99*N99/100</f>
        <v>0</v>
      </c>
    </row>
    <row r="100" spans="1:15">
      <c r="A100" s="303" t="s">
        <v>18</v>
      </c>
      <c r="B100" s="314">
        <v>1</v>
      </c>
      <c r="C100" s="314">
        <f>C89+C79</f>
        <v>0</v>
      </c>
      <c r="D100" s="314">
        <f>B100*C100/100</f>
        <v>0</v>
      </c>
      <c r="E100" s="314">
        <f>E89+E79</f>
        <v>0</v>
      </c>
      <c r="F100" s="314">
        <f>B100*E100/100</f>
        <v>0</v>
      </c>
      <c r="G100" s="314">
        <f>G89+G79</f>
        <v>0</v>
      </c>
      <c r="H100" s="303"/>
      <c r="I100" s="304"/>
      <c r="J100" s="304"/>
      <c r="K100" s="304"/>
      <c r="L100" s="304"/>
      <c r="M100" s="314">
        <f>B100*G100/100</f>
        <v>0</v>
      </c>
      <c r="N100" s="314">
        <f>N89+N79</f>
        <v>0</v>
      </c>
      <c r="O100" s="314">
        <f>B100*N100/100</f>
        <v>0</v>
      </c>
    </row>
    <row r="101" spans="1:15" ht="15" customHeight="1">
      <c r="A101" s="7"/>
      <c r="B101" s="7"/>
      <c r="C101" s="7"/>
      <c r="D101" s="7"/>
      <c r="E101" s="7"/>
      <c r="F101" s="7"/>
      <c r="G101" s="7"/>
      <c r="H101" s="7"/>
      <c r="I101" s="306"/>
      <c r="J101" s="306"/>
      <c r="K101" s="306"/>
      <c r="L101" s="306"/>
      <c r="M101" s="307"/>
      <c r="N101" s="7"/>
    </row>
    <row r="102" spans="1:15" ht="15">
      <c r="A102" s="878" t="s">
        <v>606</v>
      </c>
      <c r="B102" s="878"/>
      <c r="C102" s="878"/>
      <c r="D102" s="878"/>
      <c r="E102" s="878"/>
      <c r="F102" s="878"/>
      <c r="G102" s="878"/>
      <c r="H102" s="878"/>
      <c r="I102" s="878"/>
      <c r="J102" s="878"/>
      <c r="K102" s="878"/>
      <c r="L102" s="878"/>
      <c r="M102" s="878"/>
      <c r="N102" s="878"/>
    </row>
    <row r="103" spans="1:15" ht="45">
      <c r="A103" s="316" t="s">
        <v>593</v>
      </c>
      <c r="B103" s="316" t="s">
        <v>594</v>
      </c>
      <c r="C103" s="316" t="s">
        <v>589</v>
      </c>
      <c r="D103" s="316" t="s">
        <v>595</v>
      </c>
      <c r="E103" s="316" t="s">
        <v>589</v>
      </c>
      <c r="F103" s="316" t="s">
        <v>596</v>
      </c>
      <c r="G103" s="316" t="s">
        <v>589</v>
      </c>
      <c r="H103" s="316"/>
      <c r="I103" s="317"/>
      <c r="J103" s="317"/>
      <c r="K103" s="317"/>
      <c r="L103" s="317"/>
      <c r="M103" s="316" t="s">
        <v>597</v>
      </c>
      <c r="N103" s="316" t="s">
        <v>589</v>
      </c>
    </row>
    <row r="104" spans="1:15" ht="15">
      <c r="A104" s="321">
        <f>A93+A83</f>
        <v>57111634345</v>
      </c>
      <c r="B104" s="309">
        <f>B93+B83</f>
        <v>17905329215</v>
      </c>
      <c r="C104" s="312">
        <f>A104*B104/100</f>
        <v>1.0226026149539258E+19</v>
      </c>
      <c r="D104" s="309">
        <f>D93+D83</f>
        <v>8782218462</v>
      </c>
      <c r="E104" s="314">
        <f>A104*D104</f>
        <v>5.0156684953965226E+20</v>
      </c>
      <c r="F104" s="309">
        <f>F93+F83</f>
        <v>0</v>
      </c>
      <c r="G104" s="314">
        <f>A104*F104/100</f>
        <v>0</v>
      </c>
      <c r="H104" s="303"/>
      <c r="I104" s="304"/>
      <c r="J104" s="304"/>
      <c r="K104" s="304"/>
      <c r="L104" s="304"/>
      <c r="M104" s="325">
        <f>M93+M83</f>
        <v>0</v>
      </c>
      <c r="N104" s="314">
        <f>A104*M104/100</f>
        <v>0</v>
      </c>
    </row>
    <row r="105" spans="1:15">
      <c r="A105" s="303"/>
      <c r="B105" s="303"/>
      <c r="C105" s="303"/>
      <c r="D105" s="303"/>
      <c r="E105" s="303"/>
      <c r="F105" s="303"/>
      <c r="G105" s="303"/>
      <c r="H105" s="303"/>
      <c r="I105" s="304"/>
      <c r="J105" s="304"/>
      <c r="K105" s="304"/>
      <c r="L105" s="304"/>
      <c r="M105" s="305"/>
      <c r="N105" s="303"/>
    </row>
  </sheetData>
  <mergeCells count="123">
    <mergeCell ref="A97:O97"/>
    <mergeCell ref="A102:N102"/>
    <mergeCell ref="AF72:AF73"/>
    <mergeCell ref="AG72:AG73"/>
    <mergeCell ref="AH72:AH73"/>
    <mergeCell ref="AI72:AI73"/>
    <mergeCell ref="AJ72:AJ73"/>
    <mergeCell ref="A76:O76"/>
    <mergeCell ref="AC61:AC62"/>
    <mergeCell ref="V72:V73"/>
    <mergeCell ref="X72:X73"/>
    <mergeCell ref="AC72:AC73"/>
    <mergeCell ref="AD72:AD73"/>
    <mergeCell ref="AE72:AE73"/>
    <mergeCell ref="A72:M73"/>
    <mergeCell ref="A81:N81"/>
    <mergeCell ref="A86:O86"/>
    <mergeCell ref="A91:N91"/>
    <mergeCell ref="A63:A71"/>
    <mergeCell ref="B63:B71"/>
    <mergeCell ref="G63:G65"/>
    <mergeCell ref="G66:G67"/>
    <mergeCell ref="C67:C68"/>
    <mergeCell ref="D67:D68"/>
    <mergeCell ref="E67:E68"/>
    <mergeCell ref="C52:C60"/>
    <mergeCell ref="D52:D60"/>
    <mergeCell ref="E52:E60"/>
    <mergeCell ref="F52:F60"/>
    <mergeCell ref="A61:M62"/>
    <mergeCell ref="U9:U11"/>
    <mergeCell ref="V9:V11"/>
    <mergeCell ref="G40:G42"/>
    <mergeCell ref="C49:C51"/>
    <mergeCell ref="A8:A60"/>
    <mergeCell ref="B8:B60"/>
    <mergeCell ref="C8:C19"/>
    <mergeCell ref="D8:D19"/>
    <mergeCell ref="E8:E19"/>
    <mergeCell ref="F8:F19"/>
    <mergeCell ref="G34:G36"/>
    <mergeCell ref="L9:L19"/>
    <mergeCell ref="T9:T11"/>
    <mergeCell ref="F24:F51"/>
    <mergeCell ref="K24:K51"/>
    <mergeCell ref="L24:L51"/>
    <mergeCell ref="G26:G27"/>
    <mergeCell ref="C27:C48"/>
    <mergeCell ref="X9:X11"/>
    <mergeCell ref="G37:G39"/>
    <mergeCell ref="G8:G11"/>
    <mergeCell ref="AS67:AS71"/>
    <mergeCell ref="G68:G70"/>
    <mergeCell ref="G52:G55"/>
    <mergeCell ref="V52:V55"/>
    <mergeCell ref="V61:V62"/>
    <mergeCell ref="X61:X62"/>
    <mergeCell ref="AH61:AH62"/>
    <mergeCell ref="AG61:AG62"/>
    <mergeCell ref="AF61:AF62"/>
    <mergeCell ref="AE61:AE62"/>
    <mergeCell ref="AD61:AD62"/>
    <mergeCell ref="AS9:AS63"/>
    <mergeCell ref="G28:G30"/>
    <mergeCell ref="G31:G33"/>
    <mergeCell ref="G49:G50"/>
    <mergeCell ref="G12:G14"/>
    <mergeCell ref="T12:T14"/>
    <mergeCell ref="G15:G18"/>
    <mergeCell ref="T15:T18"/>
    <mergeCell ref="G19:G22"/>
    <mergeCell ref="G23:G25"/>
    <mergeCell ref="A1:AR1"/>
    <mergeCell ref="AT1:AX1"/>
    <mergeCell ref="A2:AR2"/>
    <mergeCell ref="A5:AR5"/>
    <mergeCell ref="A6:B6"/>
    <mergeCell ref="C6:E6"/>
    <mergeCell ref="G6:J6"/>
    <mergeCell ref="K6:K7"/>
    <mergeCell ref="L6:L7"/>
    <mergeCell ref="M6:M7"/>
    <mergeCell ref="N6:N7"/>
    <mergeCell ref="O6:O7"/>
    <mergeCell ref="P6:P7"/>
    <mergeCell ref="B3:AR3"/>
    <mergeCell ref="A4:AR4"/>
    <mergeCell ref="AR6:AR7"/>
    <mergeCell ref="Q6:Q7"/>
    <mergeCell ref="R6:R7"/>
    <mergeCell ref="AE32:AE51"/>
    <mergeCell ref="AF32:AF51"/>
    <mergeCell ref="AG32:AG51"/>
    <mergeCell ref="D27:D48"/>
    <mergeCell ref="E27:E48"/>
    <mergeCell ref="G43:G45"/>
    <mergeCell ref="G46:G48"/>
    <mergeCell ref="D49:D51"/>
    <mergeCell ref="E49:E51"/>
    <mergeCell ref="AH32:AH51"/>
    <mergeCell ref="X52:X55"/>
    <mergeCell ref="W61:W62"/>
    <mergeCell ref="S6:S7"/>
    <mergeCell ref="T6:X6"/>
    <mergeCell ref="Y6:AE6"/>
    <mergeCell ref="AQ6:AQ7"/>
    <mergeCell ref="W52:W55"/>
    <mergeCell ref="AH9:AH11"/>
    <mergeCell ref="V12:V31"/>
    <mergeCell ref="V32:V51"/>
    <mergeCell ref="W12:W31"/>
    <mergeCell ref="X12:X31"/>
    <mergeCell ref="W32:W51"/>
    <mergeCell ref="X32:X51"/>
    <mergeCell ref="AH52:AH55"/>
    <mergeCell ref="AC12:AC31"/>
    <mergeCell ref="AD12:AD31"/>
    <mergeCell ref="AE12:AE31"/>
    <mergeCell ref="AF12:AF31"/>
    <mergeCell ref="AG12:AG31"/>
    <mergeCell ref="AH12:AH31"/>
    <mergeCell ref="AC32:AC51"/>
    <mergeCell ref="AD32:AD51"/>
  </mergeCells>
  <pageMargins left="0.7" right="0.7" top="0.75" bottom="0.75" header="0.3" footer="0.3"/>
  <pageSetup paperSize="0"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E152F-44D4-4F5D-AC95-6299184CB932}">
  <dimension ref="A1:AU93"/>
  <sheetViews>
    <sheetView topLeftCell="J19" zoomScale="60" zoomScaleNormal="60" workbookViewId="0">
      <selection activeCell="AA26" sqref="AA26:AA31"/>
    </sheetView>
  </sheetViews>
  <sheetFormatPr baseColWidth="10" defaultColWidth="11.42578125" defaultRowHeight="14.25"/>
  <cols>
    <col min="1" max="1" width="31.42578125" style="3" customWidth="1"/>
    <col min="2" max="2" width="28.42578125" style="3" customWidth="1"/>
    <col min="3" max="3" width="24" style="3" customWidth="1"/>
    <col min="4" max="4" width="30.42578125" style="3" customWidth="1"/>
    <col min="5" max="5" width="24.42578125" style="3" customWidth="1"/>
    <col min="6" max="6" width="18.42578125" style="3" customWidth="1"/>
    <col min="7" max="7" width="20.28515625" style="3" customWidth="1"/>
    <col min="8" max="8" width="36.28515625" style="3" customWidth="1"/>
    <col min="9" max="9" width="15" style="3" hidden="1" customWidth="1"/>
    <col min="10" max="10" width="38.140625" style="5" customWidth="1"/>
    <col min="11" max="12" width="15" style="3" customWidth="1"/>
    <col min="13" max="13" width="16.28515625" style="3" customWidth="1"/>
    <col min="14" max="14" width="16.7109375" style="3" customWidth="1"/>
    <col min="15" max="15" width="16.85546875" style="3" customWidth="1"/>
    <col min="16" max="16" width="18" style="3" customWidth="1"/>
    <col min="17" max="17" width="20.140625" style="7" customWidth="1"/>
    <col min="18" max="18" width="21.42578125" style="3" customWidth="1"/>
    <col min="19" max="20" width="27.7109375" style="8" customWidth="1"/>
    <col min="21" max="21" width="25.42578125" style="8" bestFit="1" customWidth="1"/>
    <col min="22" max="31" width="25.42578125" style="8" customWidth="1"/>
    <col min="32" max="34" width="34.28515625" style="8" customWidth="1"/>
    <col min="35" max="39" width="43.85546875" style="8" customWidth="1"/>
    <col min="40" max="40" width="20" style="3" customWidth="1"/>
    <col min="41" max="41" width="20.140625" style="3" customWidth="1"/>
    <col min="42" max="42" width="30.28515625" style="2" hidden="1" customWidth="1"/>
    <col min="43" max="44" width="17.42578125" style="2" customWidth="1"/>
    <col min="45" max="45" width="21.140625" style="2" customWidth="1"/>
    <col min="46" max="46" width="16.7109375" style="2" customWidth="1"/>
    <col min="47" max="47" width="20.140625" style="2" customWidth="1"/>
    <col min="48" max="16384" width="11.42578125" style="2"/>
  </cols>
  <sheetData>
    <row r="1" spans="1:47" s="218" customFormat="1" ht="30.75" customHeight="1" thickTop="1" thickBot="1">
      <c r="A1" s="807"/>
      <c r="B1" s="807"/>
      <c r="C1" s="807"/>
      <c r="D1" s="807"/>
      <c r="E1" s="807"/>
      <c r="F1" s="807"/>
      <c r="G1" s="807"/>
      <c r="H1" s="807"/>
      <c r="I1" s="807"/>
      <c r="J1" s="807"/>
      <c r="K1" s="807"/>
      <c r="L1" s="807"/>
      <c r="M1" s="807"/>
      <c r="N1" s="807"/>
      <c r="O1" s="807"/>
      <c r="P1" s="807"/>
      <c r="Q1" s="807"/>
      <c r="R1" s="807"/>
      <c r="S1" s="807"/>
      <c r="T1" s="807"/>
      <c r="U1" s="807"/>
      <c r="V1" s="807"/>
      <c r="W1" s="807"/>
      <c r="X1" s="807"/>
      <c r="Y1" s="807"/>
      <c r="Z1" s="807"/>
      <c r="AA1" s="807"/>
      <c r="AB1" s="807"/>
      <c r="AC1" s="807"/>
      <c r="AD1" s="807"/>
      <c r="AE1" s="807"/>
      <c r="AF1" s="807"/>
      <c r="AG1" s="807"/>
      <c r="AH1" s="807"/>
      <c r="AI1" s="807"/>
      <c r="AJ1" s="807"/>
      <c r="AK1" s="807"/>
      <c r="AL1" s="807"/>
      <c r="AM1" s="807"/>
      <c r="AN1" s="807"/>
      <c r="AO1" s="807"/>
      <c r="AP1" s="24"/>
      <c r="AQ1" s="790" t="s">
        <v>34</v>
      </c>
      <c r="AR1" s="790"/>
      <c r="AS1" s="790"/>
      <c r="AT1" s="790"/>
      <c r="AU1" s="791"/>
    </row>
    <row r="2" spans="1:47" s="218" customFormat="1" ht="27.95" customHeight="1" thickTop="1" thickBot="1">
      <c r="A2" s="774"/>
      <c r="B2" s="774"/>
      <c r="C2" s="774"/>
      <c r="D2" s="774"/>
      <c r="E2" s="774"/>
      <c r="F2" s="774"/>
      <c r="G2" s="774"/>
      <c r="H2" s="774"/>
      <c r="I2" s="774"/>
      <c r="J2" s="774"/>
      <c r="K2" s="774"/>
      <c r="L2" s="774"/>
      <c r="M2" s="774"/>
      <c r="N2" s="774"/>
      <c r="O2" s="774"/>
      <c r="P2" s="774"/>
      <c r="Q2" s="774"/>
      <c r="R2" s="774"/>
      <c r="S2" s="774"/>
      <c r="T2" s="774"/>
      <c r="U2" s="774"/>
      <c r="V2" s="774"/>
      <c r="W2" s="774"/>
      <c r="X2" s="774"/>
      <c r="Y2" s="774"/>
      <c r="Z2" s="774"/>
      <c r="AA2" s="774"/>
      <c r="AB2" s="774"/>
      <c r="AC2" s="774"/>
      <c r="AD2" s="774"/>
      <c r="AE2" s="774"/>
      <c r="AF2" s="774"/>
      <c r="AG2" s="774"/>
      <c r="AH2" s="774"/>
      <c r="AI2" s="774"/>
      <c r="AJ2" s="774"/>
      <c r="AK2" s="774"/>
      <c r="AL2" s="774"/>
      <c r="AM2" s="774"/>
      <c r="AN2" s="774"/>
      <c r="AO2" s="774"/>
      <c r="AP2" s="24"/>
      <c r="AQ2" s="294" t="s">
        <v>35</v>
      </c>
      <c r="AR2" s="22" t="s">
        <v>36</v>
      </c>
      <c r="AS2" s="18" t="s">
        <v>37</v>
      </c>
      <c r="AT2" s="18" t="s">
        <v>38</v>
      </c>
      <c r="AU2" s="18" t="s">
        <v>29</v>
      </c>
    </row>
    <row r="3" spans="1:47" s="218" customFormat="1" ht="25.5" customHeight="1" thickTop="1" thickBot="1">
      <c r="A3" s="297"/>
      <c r="B3" s="920" t="s">
        <v>610</v>
      </c>
      <c r="C3" s="921"/>
      <c r="D3" s="921"/>
      <c r="E3" s="921"/>
      <c r="F3" s="921"/>
      <c r="G3" s="921"/>
      <c r="H3" s="921"/>
      <c r="I3" s="921"/>
      <c r="J3" s="921"/>
      <c r="K3" s="921"/>
      <c r="L3" s="921"/>
      <c r="M3" s="921"/>
      <c r="N3" s="921"/>
      <c r="O3" s="921"/>
      <c r="P3" s="921"/>
      <c r="Q3" s="921"/>
      <c r="R3" s="921"/>
      <c r="S3" s="921"/>
      <c r="T3" s="921"/>
      <c r="U3" s="921"/>
      <c r="V3" s="921"/>
      <c r="W3" s="921"/>
      <c r="X3" s="921"/>
      <c r="Y3" s="921"/>
      <c r="Z3" s="921"/>
      <c r="AA3" s="921"/>
      <c r="AB3" s="921"/>
      <c r="AC3" s="921"/>
      <c r="AD3" s="921"/>
      <c r="AE3" s="921"/>
      <c r="AF3" s="921"/>
      <c r="AG3" s="921"/>
      <c r="AH3" s="921"/>
      <c r="AI3" s="921"/>
      <c r="AJ3" s="921"/>
      <c r="AK3" s="921"/>
      <c r="AL3" s="921"/>
      <c r="AM3" s="921"/>
      <c r="AN3" s="921"/>
      <c r="AO3" s="922"/>
      <c r="AP3" s="25"/>
      <c r="AQ3" s="30"/>
      <c r="AR3" s="23"/>
      <c r="AS3" s="19"/>
      <c r="AT3" s="20"/>
      <c r="AU3" s="21"/>
    </row>
    <row r="4" spans="1:47" s="218" customFormat="1" ht="27.95" customHeight="1" thickTop="1" thickBot="1">
      <c r="A4" s="951" t="s">
        <v>611</v>
      </c>
      <c r="B4" s="952"/>
      <c r="C4" s="952"/>
      <c r="D4" s="952"/>
      <c r="E4" s="952"/>
      <c r="F4" s="952"/>
      <c r="G4" s="952"/>
      <c r="H4" s="952"/>
      <c r="I4" s="952"/>
      <c r="J4" s="952"/>
      <c r="K4" s="952"/>
      <c r="L4" s="952"/>
      <c r="M4" s="952"/>
      <c r="N4" s="952"/>
      <c r="O4" s="952"/>
      <c r="P4" s="952"/>
      <c r="Q4" s="952"/>
      <c r="R4" s="952"/>
      <c r="S4" s="952"/>
      <c r="T4" s="952"/>
      <c r="U4" s="952"/>
      <c r="V4" s="952"/>
      <c r="W4" s="952"/>
      <c r="X4" s="952"/>
      <c r="Y4" s="952"/>
      <c r="Z4" s="952"/>
      <c r="AA4" s="952"/>
      <c r="AB4" s="952"/>
      <c r="AC4" s="952"/>
      <c r="AD4" s="952"/>
      <c r="AE4" s="952"/>
      <c r="AF4" s="952"/>
      <c r="AG4" s="952"/>
      <c r="AH4" s="952"/>
      <c r="AI4" s="952"/>
      <c r="AJ4" s="952"/>
      <c r="AK4" s="952"/>
      <c r="AL4" s="952"/>
      <c r="AM4" s="952"/>
      <c r="AN4" s="952"/>
      <c r="AO4" s="953"/>
      <c r="AP4" s="25"/>
      <c r="AQ4" s="30"/>
      <c r="AR4" s="23"/>
      <c r="AS4" s="19"/>
      <c r="AT4" s="20"/>
      <c r="AU4" s="21"/>
    </row>
    <row r="5" spans="1:47" s="218" customFormat="1" ht="27.95" customHeight="1" thickTop="1" thickBot="1">
      <c r="A5" s="792"/>
      <c r="B5" s="792"/>
      <c r="C5" s="792"/>
      <c r="D5" s="792"/>
      <c r="E5" s="792"/>
      <c r="F5" s="792"/>
      <c r="G5" s="792"/>
      <c r="H5" s="792"/>
      <c r="I5" s="792"/>
      <c r="J5" s="792"/>
      <c r="K5" s="792"/>
      <c r="L5" s="792"/>
      <c r="M5" s="792"/>
      <c r="N5" s="792"/>
      <c r="O5" s="792"/>
      <c r="P5" s="792"/>
      <c r="Q5" s="792"/>
      <c r="R5" s="792"/>
      <c r="S5" s="792"/>
      <c r="T5" s="792"/>
      <c r="U5" s="792"/>
      <c r="V5" s="792"/>
      <c r="W5" s="792"/>
      <c r="X5" s="792"/>
      <c r="Y5" s="792"/>
      <c r="Z5" s="792"/>
      <c r="AA5" s="792"/>
      <c r="AB5" s="792"/>
      <c r="AC5" s="792"/>
      <c r="AD5" s="792"/>
      <c r="AE5" s="792"/>
      <c r="AF5" s="792"/>
      <c r="AG5" s="792"/>
      <c r="AH5" s="792"/>
      <c r="AI5" s="792"/>
      <c r="AJ5" s="792"/>
      <c r="AK5" s="792"/>
      <c r="AL5" s="792"/>
      <c r="AM5" s="792"/>
      <c r="AN5" s="792"/>
      <c r="AO5" s="792"/>
      <c r="AP5" s="165"/>
      <c r="AQ5" s="30"/>
      <c r="AR5" s="23"/>
      <c r="AS5" s="19"/>
      <c r="AT5" s="20"/>
      <c r="AU5" s="21"/>
    </row>
    <row r="6" spans="1:47" ht="27.95" customHeight="1" thickBot="1">
      <c r="A6" s="794"/>
      <c r="B6" s="795"/>
      <c r="C6" s="796" t="s">
        <v>45</v>
      </c>
      <c r="D6" s="794"/>
      <c r="E6" s="794"/>
      <c r="F6" s="795"/>
      <c r="G6" s="31"/>
      <c r="H6" s="759" t="s">
        <v>311</v>
      </c>
      <c r="I6" s="759"/>
      <c r="J6" s="918" t="s">
        <v>1</v>
      </c>
      <c r="K6" s="763" t="s">
        <v>48</v>
      </c>
      <c r="L6" s="763" t="s">
        <v>2</v>
      </c>
      <c r="M6" s="763" t="s">
        <v>3</v>
      </c>
      <c r="N6" s="763" t="s">
        <v>4</v>
      </c>
      <c r="O6" s="763" t="s">
        <v>5</v>
      </c>
      <c r="P6" s="763" t="s">
        <v>6</v>
      </c>
      <c r="Q6" s="762" t="s">
        <v>7</v>
      </c>
      <c r="R6" s="762"/>
      <c r="S6" s="762"/>
      <c r="T6" s="762"/>
      <c r="U6" s="762"/>
      <c r="V6" s="804" t="s">
        <v>564</v>
      </c>
      <c r="W6" s="805"/>
      <c r="X6" s="805"/>
      <c r="Y6" s="805"/>
      <c r="Z6" s="805"/>
      <c r="AA6" s="805"/>
      <c r="AB6" s="806"/>
      <c r="AC6" s="289"/>
      <c r="AD6" s="289"/>
      <c r="AE6" s="289"/>
      <c r="AF6" s="289"/>
      <c r="AG6" s="289"/>
      <c r="AH6" s="289"/>
      <c r="AI6" s="289"/>
      <c r="AJ6" s="289"/>
      <c r="AK6" s="289"/>
      <c r="AL6" s="289"/>
      <c r="AM6" s="289"/>
      <c r="AN6" s="763" t="s">
        <v>8</v>
      </c>
      <c r="AO6" s="755" t="s">
        <v>9</v>
      </c>
      <c r="AP6" s="166"/>
      <c r="AQ6" s="22" t="s">
        <v>39</v>
      </c>
      <c r="AR6" s="17" t="s">
        <v>30</v>
      </c>
      <c r="AS6" s="18" t="s">
        <v>31</v>
      </c>
      <c r="AT6" s="18" t="s">
        <v>32</v>
      </c>
      <c r="AU6" s="18" t="s">
        <v>33</v>
      </c>
    </row>
    <row r="7" spans="1:47" ht="68.25" customHeight="1" thickTop="1">
      <c r="A7" s="270" t="s">
        <v>42</v>
      </c>
      <c r="B7" s="270" t="s">
        <v>43</v>
      </c>
      <c r="C7" s="270" t="s">
        <v>11</v>
      </c>
      <c r="D7" s="270" t="s">
        <v>52</v>
      </c>
      <c r="E7" s="270" t="s">
        <v>12</v>
      </c>
      <c r="F7" s="270" t="s">
        <v>47</v>
      </c>
      <c r="G7" s="270" t="s">
        <v>41</v>
      </c>
      <c r="H7" s="32" t="s">
        <v>46</v>
      </c>
      <c r="I7" s="270" t="s">
        <v>52</v>
      </c>
      <c r="J7" s="919"/>
      <c r="K7" s="764"/>
      <c r="L7" s="764"/>
      <c r="M7" s="764"/>
      <c r="N7" s="764"/>
      <c r="O7" s="764"/>
      <c r="P7" s="764"/>
      <c r="Q7" s="270" t="s">
        <v>13</v>
      </c>
      <c r="R7" s="270" t="s">
        <v>14</v>
      </c>
      <c r="S7" s="4" t="s">
        <v>15</v>
      </c>
      <c r="T7" s="4"/>
      <c r="U7" s="4" t="s">
        <v>16</v>
      </c>
      <c r="V7" s="4" t="s">
        <v>565</v>
      </c>
      <c r="W7" s="4" t="s">
        <v>566</v>
      </c>
      <c r="X7" s="4" t="s">
        <v>567</v>
      </c>
      <c r="Y7" s="4" t="s">
        <v>568</v>
      </c>
      <c r="Z7" s="4" t="s">
        <v>569</v>
      </c>
      <c r="AA7" s="4" t="s">
        <v>570</v>
      </c>
      <c r="AB7" s="4" t="s">
        <v>571</v>
      </c>
      <c r="AC7" s="293" t="s">
        <v>572</v>
      </c>
      <c r="AD7" s="293" t="s">
        <v>573</v>
      </c>
      <c r="AE7" s="293" t="s">
        <v>574</v>
      </c>
      <c r="AF7" s="293" t="s">
        <v>575</v>
      </c>
      <c r="AG7" s="293" t="s">
        <v>576</v>
      </c>
      <c r="AH7" s="293" t="s">
        <v>577</v>
      </c>
      <c r="AI7" s="293" t="s">
        <v>578</v>
      </c>
      <c r="AJ7" s="293" t="s">
        <v>579</v>
      </c>
      <c r="AK7" s="293" t="s">
        <v>580</v>
      </c>
      <c r="AL7" s="293" t="s">
        <v>581</v>
      </c>
      <c r="AM7" s="293" t="s">
        <v>582</v>
      </c>
      <c r="AN7" s="764"/>
      <c r="AO7" s="756" t="s">
        <v>9</v>
      </c>
      <c r="AP7" s="166"/>
    </row>
    <row r="8" spans="1:47" s="218" customFormat="1" ht="72" customHeight="1">
      <c r="A8" s="687" t="s">
        <v>192</v>
      </c>
      <c r="B8" s="687" t="s">
        <v>180</v>
      </c>
      <c r="C8" s="687" t="s">
        <v>178</v>
      </c>
      <c r="D8" s="687" t="s">
        <v>17</v>
      </c>
      <c r="E8" s="687" t="s">
        <v>51</v>
      </c>
      <c r="F8" s="687">
        <v>1</v>
      </c>
      <c r="G8" s="687" t="s">
        <v>181</v>
      </c>
      <c r="H8" s="687" t="s">
        <v>182</v>
      </c>
      <c r="I8" s="263" t="s">
        <v>17</v>
      </c>
      <c r="J8" s="92" t="s">
        <v>461</v>
      </c>
      <c r="K8" s="263">
        <v>1</v>
      </c>
      <c r="L8" s="263" t="s">
        <v>452</v>
      </c>
      <c r="M8" s="263">
        <v>1</v>
      </c>
      <c r="N8" s="263">
        <v>0</v>
      </c>
      <c r="O8" s="263">
        <v>0</v>
      </c>
      <c r="P8" s="263">
        <v>0</v>
      </c>
      <c r="Q8" s="263"/>
      <c r="R8" s="93"/>
      <c r="S8" s="247">
        <v>0</v>
      </c>
      <c r="T8" s="471"/>
      <c r="U8" s="247">
        <v>0</v>
      </c>
      <c r="V8" s="257"/>
      <c r="W8" s="257"/>
      <c r="X8" s="257"/>
      <c r="Y8" s="257"/>
      <c r="Z8" s="257"/>
      <c r="AA8" s="257"/>
      <c r="AB8" s="257"/>
      <c r="AC8" s="257"/>
      <c r="AD8" s="257"/>
      <c r="AE8" s="257"/>
      <c r="AF8" s="257"/>
      <c r="AG8" s="257"/>
      <c r="AH8" s="257"/>
      <c r="AI8" s="257"/>
      <c r="AJ8" s="257"/>
      <c r="AK8" s="257"/>
      <c r="AL8" s="257"/>
      <c r="AM8" s="257"/>
      <c r="AN8" s="277" t="s">
        <v>462</v>
      </c>
      <c r="AO8" s="277" t="s">
        <v>462</v>
      </c>
      <c r="AP8" s="167"/>
    </row>
    <row r="9" spans="1:47" s="218" customFormat="1" ht="72" customHeight="1">
      <c r="A9" s="687"/>
      <c r="B9" s="687"/>
      <c r="C9" s="687"/>
      <c r="D9" s="687"/>
      <c r="E9" s="687"/>
      <c r="F9" s="687"/>
      <c r="G9" s="687"/>
      <c r="H9" s="687"/>
      <c r="I9" s="263"/>
      <c r="J9" s="92" t="s">
        <v>465</v>
      </c>
      <c r="K9" s="263">
        <v>50</v>
      </c>
      <c r="L9" s="263" t="s">
        <v>358</v>
      </c>
      <c r="M9" s="263">
        <v>5</v>
      </c>
      <c r="N9" s="263">
        <v>5</v>
      </c>
      <c r="O9" s="263">
        <v>20</v>
      </c>
      <c r="P9" s="263">
        <v>20</v>
      </c>
      <c r="Q9" s="954" t="s">
        <v>384</v>
      </c>
      <c r="R9" s="955"/>
      <c r="S9" s="956">
        <v>90341227.37184</v>
      </c>
      <c r="T9" s="470"/>
      <c r="U9" s="957">
        <v>90341227.37184</v>
      </c>
      <c r="V9" s="957">
        <v>14156648</v>
      </c>
      <c r="W9" s="957"/>
      <c r="X9" s="257"/>
      <c r="Y9" s="257"/>
      <c r="Z9" s="257">
        <v>9739412</v>
      </c>
      <c r="AA9" s="957">
        <v>7796610</v>
      </c>
      <c r="AB9" s="257"/>
      <c r="AC9" s="257"/>
      <c r="AD9" s="257"/>
      <c r="AE9" s="257"/>
      <c r="AF9" s="257"/>
      <c r="AG9" s="257"/>
      <c r="AH9" s="257"/>
      <c r="AI9" s="257"/>
      <c r="AJ9" s="257"/>
      <c r="AK9" s="257"/>
      <c r="AL9" s="257"/>
      <c r="AM9" s="257"/>
      <c r="AN9" s="277"/>
      <c r="AO9" s="277"/>
      <c r="AP9" s="203"/>
    </row>
    <row r="10" spans="1:47" s="218" customFormat="1" ht="72" customHeight="1">
      <c r="A10" s="688"/>
      <c r="B10" s="688"/>
      <c r="C10" s="688"/>
      <c r="D10" s="688"/>
      <c r="E10" s="688"/>
      <c r="F10" s="688"/>
      <c r="G10" s="688"/>
      <c r="H10" s="688"/>
      <c r="I10" s="263"/>
      <c r="J10" s="92" t="s">
        <v>464</v>
      </c>
      <c r="K10" s="263">
        <v>30</v>
      </c>
      <c r="L10" s="263" t="s">
        <v>18</v>
      </c>
      <c r="M10" s="263">
        <v>0</v>
      </c>
      <c r="N10" s="263">
        <v>5</v>
      </c>
      <c r="O10" s="263">
        <v>5</v>
      </c>
      <c r="P10" s="263">
        <v>5</v>
      </c>
      <c r="Q10" s="954"/>
      <c r="R10" s="955"/>
      <c r="S10" s="956"/>
      <c r="T10" s="471"/>
      <c r="U10" s="958"/>
      <c r="V10" s="958"/>
      <c r="W10" s="958"/>
      <c r="X10" s="257"/>
      <c r="Y10" s="257"/>
      <c r="Z10" s="424">
        <v>9739412</v>
      </c>
      <c r="AA10" s="958"/>
      <c r="AB10" s="257"/>
      <c r="AC10" s="257"/>
      <c r="AD10" s="257"/>
      <c r="AE10" s="257"/>
      <c r="AF10" s="257"/>
      <c r="AG10" s="257"/>
      <c r="AH10" s="257"/>
      <c r="AI10" s="257"/>
      <c r="AJ10" s="257"/>
      <c r="AK10" s="257"/>
      <c r="AL10" s="257"/>
      <c r="AM10" s="257"/>
      <c r="AN10" s="277"/>
      <c r="AO10" s="277"/>
      <c r="AP10" s="203"/>
    </row>
    <row r="11" spans="1:47" s="218" customFormat="1" ht="39.75" customHeight="1">
      <c r="A11" s="932" t="s">
        <v>607</v>
      </c>
      <c r="B11" s="933"/>
      <c r="C11" s="933"/>
      <c r="D11" s="933"/>
      <c r="E11" s="933"/>
      <c r="F11" s="933"/>
      <c r="G11" s="933"/>
      <c r="H11" s="934"/>
      <c r="I11" s="263"/>
      <c r="J11" s="345"/>
      <c r="K11" s="334">
        <f>K8</f>
        <v>1</v>
      </c>
      <c r="L11" s="334" t="s">
        <v>452</v>
      </c>
      <c r="M11" s="334">
        <f>M8</f>
        <v>1</v>
      </c>
      <c r="N11" s="334">
        <f t="shared" ref="N11:P11" si="0">N8</f>
        <v>0</v>
      </c>
      <c r="O11" s="334">
        <f t="shared" si="0"/>
        <v>0</v>
      </c>
      <c r="P11" s="334">
        <f t="shared" si="0"/>
        <v>0</v>
      </c>
      <c r="Q11" s="334"/>
      <c r="R11" s="280"/>
      <c r="S11" s="948">
        <f>S9+S8</f>
        <v>90341227.37184</v>
      </c>
      <c r="T11" s="475"/>
      <c r="U11" s="948">
        <f>U9+U8</f>
        <v>90341227.37184</v>
      </c>
      <c r="V11" s="334">
        <f>V8</f>
        <v>0</v>
      </c>
      <c r="W11" s="334">
        <f t="shared" ref="W11:Y11" si="1">W8</f>
        <v>0</v>
      </c>
      <c r="X11" s="334">
        <f t="shared" si="1"/>
        <v>0</v>
      </c>
      <c r="Y11" s="334">
        <f t="shared" si="1"/>
        <v>0</v>
      </c>
      <c r="Z11" s="948">
        <f>Z10+Z9+Z8</f>
        <v>19478824</v>
      </c>
      <c r="AA11" s="948">
        <f t="shared" ref="AA11:AE11" si="2">AA10+AA9+AA8</f>
        <v>7796610</v>
      </c>
      <c r="AB11" s="948">
        <f t="shared" si="2"/>
        <v>0</v>
      </c>
      <c r="AC11" s="948">
        <f t="shared" si="2"/>
        <v>0</v>
      </c>
      <c r="AD11" s="948">
        <f t="shared" si="2"/>
        <v>0</v>
      </c>
      <c r="AE11" s="948">
        <f t="shared" si="2"/>
        <v>0</v>
      </c>
      <c r="AF11" s="283"/>
      <c r="AG11" s="283"/>
      <c r="AH11" s="283"/>
      <c r="AI11" s="283"/>
      <c r="AJ11" s="283"/>
      <c r="AK11" s="283"/>
      <c r="AL11" s="283"/>
      <c r="AM11" s="283"/>
      <c r="AN11" s="278"/>
      <c r="AO11" s="278"/>
      <c r="AP11" s="203"/>
    </row>
    <row r="12" spans="1:47" s="218" customFormat="1" ht="39.75" customHeight="1">
      <c r="A12" s="935"/>
      <c r="B12" s="936"/>
      <c r="C12" s="936"/>
      <c r="D12" s="936"/>
      <c r="E12" s="936"/>
      <c r="F12" s="936"/>
      <c r="G12" s="936"/>
      <c r="H12" s="937"/>
      <c r="I12" s="263"/>
      <c r="J12" s="345"/>
      <c r="K12" s="334">
        <v>100</v>
      </c>
      <c r="L12" s="334" t="s">
        <v>18</v>
      </c>
      <c r="M12" s="334">
        <v>100</v>
      </c>
      <c r="N12" s="334">
        <v>100</v>
      </c>
      <c r="O12" s="334">
        <v>100</v>
      </c>
      <c r="P12" s="334">
        <v>100</v>
      </c>
      <c r="Q12" s="334"/>
      <c r="R12" s="280"/>
      <c r="S12" s="949"/>
      <c r="T12" s="477"/>
      <c r="U12" s="949"/>
      <c r="V12" s="366">
        <f>AVERAGE(V10+V9)</f>
        <v>14156648</v>
      </c>
      <c r="W12" s="366">
        <f t="shared" ref="W12:Y12" si="3">AVERAGE(W10+W9)</f>
        <v>0</v>
      </c>
      <c r="X12" s="366">
        <f t="shared" si="3"/>
        <v>0</v>
      </c>
      <c r="Y12" s="366">
        <f t="shared" si="3"/>
        <v>0</v>
      </c>
      <c r="Z12" s="949"/>
      <c r="AA12" s="949"/>
      <c r="AB12" s="949"/>
      <c r="AC12" s="949"/>
      <c r="AD12" s="949"/>
      <c r="AE12" s="949"/>
      <c r="AF12" s="283"/>
      <c r="AG12" s="283"/>
      <c r="AH12" s="283"/>
      <c r="AI12" s="283"/>
      <c r="AJ12" s="283"/>
      <c r="AK12" s="283"/>
      <c r="AL12" s="283"/>
      <c r="AM12" s="283"/>
      <c r="AN12" s="278"/>
      <c r="AO12" s="278"/>
      <c r="AP12" s="203"/>
    </row>
    <row r="13" spans="1:47" s="218" customFormat="1" ht="52.5" customHeight="1">
      <c r="A13" s="686" t="s">
        <v>193</v>
      </c>
      <c r="B13" s="686" t="s">
        <v>184</v>
      </c>
      <c r="C13" s="686" t="s">
        <v>185</v>
      </c>
      <c r="D13" s="686" t="s">
        <v>18</v>
      </c>
      <c r="E13" s="686" t="s">
        <v>51</v>
      </c>
      <c r="F13" s="686">
        <v>70</v>
      </c>
      <c r="G13" s="686" t="s">
        <v>186</v>
      </c>
      <c r="H13" s="94" t="s">
        <v>187</v>
      </c>
      <c r="I13" s="263" t="s">
        <v>17</v>
      </c>
      <c r="J13" s="96" t="s">
        <v>463</v>
      </c>
      <c r="K13" s="277">
        <v>1</v>
      </c>
      <c r="L13" s="277" t="s">
        <v>452</v>
      </c>
      <c r="M13" s="277">
        <v>0</v>
      </c>
      <c r="N13" s="277">
        <v>0</v>
      </c>
      <c r="O13" s="277">
        <v>0</v>
      </c>
      <c r="P13" s="277">
        <v>1</v>
      </c>
      <c r="Q13" s="90"/>
      <c r="R13" s="212"/>
      <c r="S13" s="238"/>
      <c r="T13" s="238"/>
      <c r="U13" s="257">
        <f>S13</f>
        <v>0</v>
      </c>
      <c r="V13" s="257"/>
      <c r="W13" s="257"/>
      <c r="X13" s="257"/>
      <c r="Y13" s="257"/>
      <c r="Z13" s="257"/>
      <c r="AA13" s="257"/>
      <c r="AB13" s="257"/>
      <c r="AC13" s="257"/>
      <c r="AD13" s="257"/>
      <c r="AE13" s="257"/>
      <c r="AF13" s="257"/>
      <c r="AG13" s="257"/>
      <c r="AH13" s="257"/>
      <c r="AI13" s="257"/>
      <c r="AJ13" s="257"/>
      <c r="AK13" s="257"/>
      <c r="AL13" s="257"/>
      <c r="AM13" s="257"/>
      <c r="AN13" s="277" t="s">
        <v>24</v>
      </c>
      <c r="AO13" s="277" t="s">
        <v>24</v>
      </c>
      <c r="AP13" s="700" t="s">
        <v>332</v>
      </c>
    </row>
    <row r="14" spans="1:47" s="218" customFormat="1" ht="42" customHeight="1">
      <c r="A14" s="687"/>
      <c r="B14" s="687"/>
      <c r="C14" s="687"/>
      <c r="D14" s="687"/>
      <c r="E14" s="687"/>
      <c r="F14" s="687"/>
      <c r="G14" s="687"/>
      <c r="H14" s="94" t="s">
        <v>188</v>
      </c>
      <c r="I14" s="94" t="s">
        <v>18</v>
      </c>
      <c r="J14" s="96" t="s">
        <v>466</v>
      </c>
      <c r="K14" s="277">
        <v>1</v>
      </c>
      <c r="L14" s="277" t="s">
        <v>17</v>
      </c>
      <c r="M14" s="277">
        <v>0</v>
      </c>
      <c r="N14" s="277">
        <v>0</v>
      </c>
      <c r="O14" s="277">
        <v>1</v>
      </c>
      <c r="P14" s="277">
        <v>0</v>
      </c>
      <c r="Q14" s="277" t="s">
        <v>384</v>
      </c>
      <c r="R14" s="256"/>
      <c r="S14" s="257">
        <v>90341227.37184</v>
      </c>
      <c r="T14" s="469"/>
      <c r="U14" s="257">
        <f t="shared" ref="U14:U22" si="4">S14</f>
        <v>90341227.37184</v>
      </c>
      <c r="V14" s="257">
        <v>14165648</v>
      </c>
      <c r="W14" s="257"/>
      <c r="X14" s="257"/>
      <c r="Y14" s="257"/>
      <c r="Z14" s="424">
        <v>9739412</v>
      </c>
      <c r="AA14" s="496">
        <v>7796611</v>
      </c>
      <c r="AB14" s="257"/>
      <c r="AC14" s="257"/>
      <c r="AD14" s="257"/>
      <c r="AE14" s="257"/>
      <c r="AF14" s="257"/>
      <c r="AG14" s="257"/>
      <c r="AH14" s="257"/>
      <c r="AI14" s="257"/>
      <c r="AJ14" s="257"/>
      <c r="AK14" s="257"/>
      <c r="AL14" s="257"/>
      <c r="AM14" s="257"/>
      <c r="AN14" s="277" t="s">
        <v>24</v>
      </c>
      <c r="AO14" s="277" t="s">
        <v>24</v>
      </c>
      <c r="AP14" s="701"/>
      <c r="AS14" s="218">
        <v>307118571.5</v>
      </c>
    </row>
    <row r="15" spans="1:47" s="218" customFormat="1" ht="58.5" customHeight="1">
      <c r="A15" s="688"/>
      <c r="B15" s="688"/>
      <c r="C15" s="688"/>
      <c r="D15" s="688"/>
      <c r="E15" s="688"/>
      <c r="F15" s="688"/>
      <c r="G15" s="688"/>
      <c r="H15" s="94" t="s">
        <v>189</v>
      </c>
      <c r="I15" s="94" t="s">
        <v>17</v>
      </c>
      <c r="J15" s="98" t="s">
        <v>467</v>
      </c>
      <c r="K15" s="277">
        <v>60</v>
      </c>
      <c r="L15" s="277" t="s">
        <v>18</v>
      </c>
      <c r="M15" s="277">
        <v>10</v>
      </c>
      <c r="N15" s="277">
        <v>10</v>
      </c>
      <c r="O15" s="277">
        <v>20</v>
      </c>
      <c r="P15" s="277">
        <v>20</v>
      </c>
      <c r="Q15" s="277" t="s">
        <v>384</v>
      </c>
      <c r="R15" s="256"/>
      <c r="S15" s="257">
        <v>90341227.37184</v>
      </c>
      <c r="T15" s="469"/>
      <c r="U15" s="257">
        <f t="shared" si="4"/>
        <v>90341227.37184</v>
      </c>
      <c r="V15" s="469">
        <v>14165649</v>
      </c>
      <c r="W15" s="257"/>
      <c r="X15" s="257"/>
      <c r="Y15" s="257"/>
      <c r="Z15" s="424">
        <v>9739412</v>
      </c>
      <c r="AA15" s="496">
        <v>7796612</v>
      </c>
      <c r="AB15" s="257"/>
      <c r="AC15" s="257"/>
      <c r="AD15" s="257"/>
      <c r="AE15" s="257"/>
      <c r="AF15" s="257"/>
      <c r="AG15" s="257"/>
      <c r="AH15" s="257"/>
      <c r="AI15" s="257"/>
      <c r="AJ15" s="257"/>
      <c r="AK15" s="257"/>
      <c r="AL15" s="257"/>
      <c r="AM15" s="257"/>
      <c r="AN15" s="277" t="s">
        <v>24</v>
      </c>
      <c r="AO15" s="277" t="s">
        <v>24</v>
      </c>
      <c r="AP15" s="702"/>
    </row>
    <row r="16" spans="1:47" s="218" customFormat="1" ht="36.75" customHeight="1">
      <c r="A16" s="932" t="s">
        <v>607</v>
      </c>
      <c r="B16" s="933"/>
      <c r="C16" s="933"/>
      <c r="D16" s="933"/>
      <c r="E16" s="933"/>
      <c r="F16" s="933"/>
      <c r="G16" s="933"/>
      <c r="H16" s="933"/>
      <c r="I16" s="933"/>
      <c r="J16" s="934"/>
      <c r="K16" s="278">
        <f>K14+K13</f>
        <v>2</v>
      </c>
      <c r="L16" s="278" t="s">
        <v>452</v>
      </c>
      <c r="M16" s="278">
        <f>M14+M13</f>
        <v>0</v>
      </c>
      <c r="N16" s="278">
        <f t="shared" ref="N16:P16" si="5">N14+N13</f>
        <v>0</v>
      </c>
      <c r="O16" s="278">
        <f t="shared" si="5"/>
        <v>1</v>
      </c>
      <c r="P16" s="278">
        <f t="shared" si="5"/>
        <v>1</v>
      </c>
      <c r="Q16" s="278"/>
      <c r="R16" s="282"/>
      <c r="S16" s="948">
        <f>S15+S14+S13</f>
        <v>180682454.74368</v>
      </c>
      <c r="T16" s="475"/>
      <c r="U16" s="948">
        <f>U15+U14+U13</f>
        <v>180682454.74368</v>
      </c>
      <c r="V16" s="278">
        <f>V14+V13</f>
        <v>14165648</v>
      </c>
      <c r="W16" s="278">
        <f t="shared" ref="W16:Y16" si="6">W14+W13</f>
        <v>0</v>
      </c>
      <c r="X16" s="278">
        <f t="shared" si="6"/>
        <v>0</v>
      </c>
      <c r="Y16" s="278">
        <f t="shared" si="6"/>
        <v>0</v>
      </c>
      <c r="Z16" s="948">
        <f>Z15+Z14+Z13</f>
        <v>19478824</v>
      </c>
      <c r="AA16" s="948">
        <f t="shared" ref="AA16:AE16" si="7">AA15+AA14+AA13</f>
        <v>15593223</v>
      </c>
      <c r="AB16" s="948">
        <f t="shared" si="7"/>
        <v>0</v>
      </c>
      <c r="AC16" s="948">
        <f t="shared" si="7"/>
        <v>0</v>
      </c>
      <c r="AD16" s="948">
        <f t="shared" si="7"/>
        <v>0</v>
      </c>
      <c r="AE16" s="948">
        <f t="shared" si="7"/>
        <v>0</v>
      </c>
      <c r="AF16" s="283"/>
      <c r="AG16" s="283"/>
      <c r="AH16" s="283"/>
      <c r="AI16" s="283"/>
      <c r="AJ16" s="283"/>
      <c r="AK16" s="283"/>
      <c r="AL16" s="283"/>
      <c r="AM16" s="283"/>
      <c r="AN16" s="278"/>
      <c r="AO16" s="278"/>
      <c r="AP16" s="260"/>
    </row>
    <row r="17" spans="1:42" s="218" customFormat="1" ht="28.5" customHeight="1">
      <c r="A17" s="935"/>
      <c r="B17" s="936"/>
      <c r="C17" s="936"/>
      <c r="D17" s="936"/>
      <c r="E17" s="936"/>
      <c r="F17" s="936"/>
      <c r="G17" s="936"/>
      <c r="H17" s="936"/>
      <c r="I17" s="936"/>
      <c r="J17" s="937"/>
      <c r="K17" s="278">
        <v>100</v>
      </c>
      <c r="L17" s="278" t="s">
        <v>18</v>
      </c>
      <c r="M17" s="278">
        <v>100</v>
      </c>
      <c r="N17" s="278">
        <v>100</v>
      </c>
      <c r="O17" s="278">
        <v>100</v>
      </c>
      <c r="P17" s="278">
        <v>100</v>
      </c>
      <c r="Q17" s="278"/>
      <c r="R17" s="282"/>
      <c r="S17" s="949"/>
      <c r="T17" s="477"/>
      <c r="U17" s="949"/>
      <c r="V17" s="366">
        <f>V15</f>
        <v>14165649</v>
      </c>
      <c r="W17" s="366">
        <f t="shared" ref="W17:Y17" si="8">W15</f>
        <v>0</v>
      </c>
      <c r="X17" s="366">
        <f t="shared" si="8"/>
        <v>0</v>
      </c>
      <c r="Y17" s="366">
        <f t="shared" si="8"/>
        <v>0</v>
      </c>
      <c r="Z17" s="949"/>
      <c r="AA17" s="949"/>
      <c r="AB17" s="949"/>
      <c r="AC17" s="949"/>
      <c r="AD17" s="949"/>
      <c r="AE17" s="949"/>
      <c r="AF17" s="283"/>
      <c r="AG17" s="283"/>
      <c r="AH17" s="283"/>
      <c r="AI17" s="283"/>
      <c r="AJ17" s="283"/>
      <c r="AK17" s="283"/>
      <c r="AL17" s="283"/>
      <c r="AM17" s="283"/>
      <c r="AN17" s="278"/>
      <c r="AO17" s="278"/>
      <c r="AP17" s="260"/>
    </row>
    <row r="18" spans="1:42" s="218" customFormat="1" ht="80.25" customHeight="1">
      <c r="A18" s="686" t="s">
        <v>194</v>
      </c>
      <c r="B18" s="686" t="s">
        <v>195</v>
      </c>
      <c r="C18" s="686" t="s">
        <v>196</v>
      </c>
      <c r="D18" s="686" t="s">
        <v>18</v>
      </c>
      <c r="E18" s="686">
        <v>90</v>
      </c>
      <c r="F18" s="686">
        <v>90</v>
      </c>
      <c r="G18" s="686" t="s">
        <v>199</v>
      </c>
      <c r="H18" s="94" t="s">
        <v>198</v>
      </c>
      <c r="I18" s="94" t="s">
        <v>17</v>
      </c>
      <c r="J18" s="193" t="s">
        <v>398</v>
      </c>
      <c r="K18" s="277">
        <v>1</v>
      </c>
      <c r="L18" s="277" t="s">
        <v>399</v>
      </c>
      <c r="M18" s="277">
        <v>0</v>
      </c>
      <c r="N18" s="277">
        <v>0</v>
      </c>
      <c r="O18" s="277">
        <v>0</v>
      </c>
      <c r="P18" s="277">
        <v>1</v>
      </c>
      <c r="Q18" s="277" t="s">
        <v>385</v>
      </c>
      <c r="R18" s="256"/>
      <c r="S18" s="257">
        <f>(3500000*1.05*12)+307118571.5</f>
        <v>351218571.5</v>
      </c>
      <c r="T18" s="469"/>
      <c r="U18" s="257">
        <f t="shared" si="4"/>
        <v>351218571.5</v>
      </c>
      <c r="V18" s="257">
        <v>14400000</v>
      </c>
      <c r="W18" s="257">
        <v>17500000</v>
      </c>
      <c r="X18" s="257"/>
      <c r="Y18" s="257"/>
      <c r="Z18" s="257">
        <v>28800000</v>
      </c>
      <c r="AA18" s="496">
        <v>17500000</v>
      </c>
      <c r="AB18" s="257"/>
      <c r="AC18" s="257"/>
      <c r="AD18" s="257"/>
      <c r="AE18" s="257"/>
      <c r="AF18" s="257"/>
      <c r="AG18" s="257"/>
      <c r="AH18" s="257"/>
      <c r="AI18" s="257"/>
      <c r="AJ18" s="257"/>
      <c r="AK18" s="257"/>
      <c r="AL18" s="257"/>
      <c r="AM18" s="257"/>
      <c r="AN18" s="277" t="s">
        <v>24</v>
      </c>
      <c r="AO18" s="277" t="s">
        <v>24</v>
      </c>
      <c r="AP18" s="700" t="s">
        <v>333</v>
      </c>
    </row>
    <row r="19" spans="1:42" s="218" customFormat="1" ht="80.25" customHeight="1">
      <c r="A19" s="687"/>
      <c r="B19" s="687"/>
      <c r="C19" s="688"/>
      <c r="D19" s="688"/>
      <c r="E19" s="688"/>
      <c r="F19" s="688"/>
      <c r="G19" s="687"/>
      <c r="H19" s="94" t="s">
        <v>200</v>
      </c>
      <c r="I19" s="94" t="s">
        <v>18</v>
      </c>
      <c r="J19" s="193" t="s">
        <v>400</v>
      </c>
      <c r="K19" s="277">
        <v>20</v>
      </c>
      <c r="L19" s="277" t="s">
        <v>358</v>
      </c>
      <c r="M19" s="374">
        <v>5</v>
      </c>
      <c r="N19" s="374">
        <v>10</v>
      </c>
      <c r="O19" s="374">
        <v>15</v>
      </c>
      <c r="P19" s="374">
        <v>20</v>
      </c>
      <c r="Q19" s="277" t="s">
        <v>381</v>
      </c>
      <c r="R19" s="256"/>
      <c r="S19" s="257">
        <v>1000000000</v>
      </c>
      <c r="T19" s="469"/>
      <c r="U19" s="257">
        <f t="shared" si="4"/>
        <v>1000000000</v>
      </c>
      <c r="V19" s="257">
        <v>189187445</v>
      </c>
      <c r="W19" s="257">
        <v>748163649</v>
      </c>
      <c r="X19" s="257"/>
      <c r="Y19" s="257"/>
      <c r="Z19" s="257">
        <v>602424049</v>
      </c>
      <c r="AA19" s="496">
        <v>748163649</v>
      </c>
      <c r="AB19" s="257"/>
      <c r="AC19" s="257"/>
      <c r="AD19" s="257"/>
      <c r="AE19" s="257"/>
      <c r="AF19" s="257"/>
      <c r="AG19" s="257"/>
      <c r="AH19" s="257"/>
      <c r="AI19" s="257"/>
      <c r="AJ19" s="257"/>
      <c r="AK19" s="257"/>
      <c r="AL19" s="257"/>
      <c r="AM19" s="257"/>
      <c r="AN19" s="277" t="s">
        <v>24</v>
      </c>
      <c r="AO19" s="277" t="s">
        <v>24</v>
      </c>
      <c r="AP19" s="701"/>
    </row>
    <row r="20" spans="1:42" s="218" customFormat="1" ht="63" customHeight="1">
      <c r="A20" s="687"/>
      <c r="B20" s="687"/>
      <c r="C20" s="686" t="s">
        <v>197</v>
      </c>
      <c r="D20" s="686" t="s">
        <v>18</v>
      </c>
      <c r="E20" s="686" t="s">
        <v>51</v>
      </c>
      <c r="F20" s="686">
        <v>3</v>
      </c>
      <c r="G20" s="687"/>
      <c r="H20" s="94" t="s">
        <v>201</v>
      </c>
      <c r="I20" s="94" t="s">
        <v>18</v>
      </c>
      <c r="J20" s="193" t="s">
        <v>401</v>
      </c>
      <c r="K20" s="277">
        <v>95</v>
      </c>
      <c r="L20" s="277" t="s">
        <v>358</v>
      </c>
      <c r="M20" s="374">
        <v>23.75</v>
      </c>
      <c r="N20" s="374">
        <f>M20+M20</f>
        <v>47.5</v>
      </c>
      <c r="O20" s="374">
        <f>+N20+M20</f>
        <v>71.25</v>
      </c>
      <c r="P20" s="194">
        <v>0.95</v>
      </c>
      <c r="Q20" s="277">
        <v>2020201</v>
      </c>
      <c r="R20" s="256"/>
      <c r="S20" s="257">
        <v>155500083</v>
      </c>
      <c r="T20" s="469"/>
      <c r="U20" s="257">
        <f t="shared" si="4"/>
        <v>155500083</v>
      </c>
      <c r="V20" s="257">
        <v>14400000</v>
      </c>
      <c r="W20" s="257">
        <v>17500000</v>
      </c>
      <c r="X20" s="257"/>
      <c r="Y20" s="257"/>
      <c r="Z20" s="257">
        <v>85077715</v>
      </c>
      <c r="AA20" s="496">
        <v>17500000</v>
      </c>
      <c r="AB20" s="257"/>
      <c r="AC20" s="257"/>
      <c r="AD20" s="257"/>
      <c r="AE20" s="257"/>
      <c r="AF20" s="257"/>
      <c r="AG20" s="257"/>
      <c r="AH20" s="257"/>
      <c r="AI20" s="257"/>
      <c r="AJ20" s="257"/>
      <c r="AK20" s="257"/>
      <c r="AL20" s="257"/>
      <c r="AM20" s="257"/>
      <c r="AN20" s="277" t="s">
        <v>24</v>
      </c>
      <c r="AO20" s="277" t="s">
        <v>24</v>
      </c>
      <c r="AP20" s="701"/>
    </row>
    <row r="21" spans="1:42" s="218" customFormat="1" ht="115.5" customHeight="1">
      <c r="A21" s="687"/>
      <c r="B21" s="687"/>
      <c r="C21" s="687"/>
      <c r="D21" s="687"/>
      <c r="E21" s="687"/>
      <c r="F21" s="687"/>
      <c r="G21" s="687"/>
      <c r="H21" s="94" t="s">
        <v>202</v>
      </c>
      <c r="I21" s="94" t="s">
        <v>86</v>
      </c>
      <c r="J21" s="193" t="s">
        <v>402</v>
      </c>
      <c r="K21" s="277">
        <v>32</v>
      </c>
      <c r="L21" s="277" t="s">
        <v>404</v>
      </c>
      <c r="M21" s="277">
        <v>8</v>
      </c>
      <c r="N21" s="277">
        <v>8</v>
      </c>
      <c r="O21" s="277">
        <v>8</v>
      </c>
      <c r="P21" s="277">
        <v>8</v>
      </c>
      <c r="Q21" s="277">
        <v>2020201</v>
      </c>
      <c r="R21" s="256"/>
      <c r="S21" s="257">
        <v>155500084</v>
      </c>
      <c r="T21" s="469"/>
      <c r="U21" s="257">
        <f t="shared" si="4"/>
        <v>155500084</v>
      </c>
      <c r="V21" s="257">
        <v>0</v>
      </c>
      <c r="W21" s="257">
        <v>9639442</v>
      </c>
      <c r="X21" s="257"/>
      <c r="Y21" s="257"/>
      <c r="Z21" s="424">
        <v>85077715</v>
      </c>
      <c r="AA21" s="496">
        <v>9639442</v>
      </c>
      <c r="AB21" s="257"/>
      <c r="AC21" s="257"/>
      <c r="AD21" s="257"/>
      <c r="AE21" s="257"/>
      <c r="AF21" s="257"/>
      <c r="AG21" s="257"/>
      <c r="AH21" s="257"/>
      <c r="AI21" s="257"/>
      <c r="AJ21" s="257"/>
      <c r="AK21" s="257"/>
      <c r="AL21" s="257"/>
      <c r="AM21" s="257"/>
      <c r="AN21" s="277" t="s">
        <v>24</v>
      </c>
      <c r="AO21" s="277" t="s">
        <v>24</v>
      </c>
      <c r="AP21" s="701"/>
    </row>
    <row r="22" spans="1:42" s="218" customFormat="1" ht="66" customHeight="1">
      <c r="A22" s="688"/>
      <c r="B22" s="688"/>
      <c r="C22" s="688"/>
      <c r="D22" s="688"/>
      <c r="E22" s="688"/>
      <c r="F22" s="688"/>
      <c r="G22" s="688"/>
      <c r="H22" s="94" t="s">
        <v>203</v>
      </c>
      <c r="I22" s="94" t="s">
        <v>18</v>
      </c>
      <c r="J22" s="193" t="s">
        <v>403</v>
      </c>
      <c r="K22" s="277">
        <v>95</v>
      </c>
      <c r="L22" s="277" t="s">
        <v>358</v>
      </c>
      <c r="M22" s="374">
        <v>10</v>
      </c>
      <c r="N22" s="374">
        <v>25</v>
      </c>
      <c r="O22" s="374">
        <v>50</v>
      </c>
      <c r="P22" s="374">
        <v>95</v>
      </c>
      <c r="Q22" s="277">
        <v>2020201</v>
      </c>
      <c r="R22" s="256"/>
      <c r="S22" s="257">
        <v>100000000</v>
      </c>
      <c r="T22" s="469"/>
      <c r="U22" s="257">
        <f t="shared" si="4"/>
        <v>100000000</v>
      </c>
      <c r="V22" s="257">
        <v>0</v>
      </c>
      <c r="W22" s="257">
        <v>47500000</v>
      </c>
      <c r="X22" s="257"/>
      <c r="Y22" s="257"/>
      <c r="Z22" s="424">
        <v>85077715</v>
      </c>
      <c r="AA22" s="496">
        <v>47500000</v>
      </c>
      <c r="AB22" s="257"/>
      <c r="AC22" s="257"/>
      <c r="AD22" s="257"/>
      <c r="AE22" s="257"/>
      <c r="AF22" s="257"/>
      <c r="AG22" s="257"/>
      <c r="AH22" s="257"/>
      <c r="AI22" s="257"/>
      <c r="AJ22" s="257"/>
      <c r="AK22" s="257"/>
      <c r="AL22" s="257"/>
      <c r="AM22" s="257"/>
      <c r="AN22" s="277" t="s">
        <v>24</v>
      </c>
      <c r="AO22" s="277" t="s">
        <v>24</v>
      </c>
      <c r="AP22" s="702"/>
    </row>
    <row r="23" spans="1:42" s="218" customFormat="1" ht="31.5" customHeight="1">
      <c r="A23" s="932" t="s">
        <v>607</v>
      </c>
      <c r="B23" s="933"/>
      <c r="C23" s="933"/>
      <c r="D23" s="933"/>
      <c r="E23" s="933"/>
      <c r="F23" s="933"/>
      <c r="G23" s="933"/>
      <c r="H23" s="933"/>
      <c r="I23" s="933"/>
      <c r="J23" s="934"/>
      <c r="K23" s="328">
        <f>K18</f>
        <v>1</v>
      </c>
      <c r="L23" s="328" t="s">
        <v>452</v>
      </c>
      <c r="M23" s="328">
        <f>M18</f>
        <v>0</v>
      </c>
      <c r="N23" s="328">
        <f t="shared" ref="N23:P23" si="9">N18</f>
        <v>0</v>
      </c>
      <c r="O23" s="328">
        <f t="shared" si="9"/>
        <v>0</v>
      </c>
      <c r="P23" s="328">
        <f t="shared" si="9"/>
        <v>1</v>
      </c>
      <c r="Q23" s="328"/>
      <c r="R23" s="329"/>
      <c r="S23" s="948">
        <f>S22+S21+S20+S19+S18</f>
        <v>1762218738.5</v>
      </c>
      <c r="T23" s="475"/>
      <c r="U23" s="948">
        <f>U22+U21+U20+U19+U18</f>
        <v>1762218738.5</v>
      </c>
      <c r="V23" s="328">
        <f>V18</f>
        <v>14400000</v>
      </c>
      <c r="W23" s="328">
        <f t="shared" ref="W23:Y23" si="10">W18</f>
        <v>17500000</v>
      </c>
      <c r="X23" s="328">
        <f t="shared" si="10"/>
        <v>0</v>
      </c>
      <c r="Y23" s="328">
        <f t="shared" si="10"/>
        <v>0</v>
      </c>
      <c r="Z23" s="948">
        <f>Z22+Z21+Z20+Z19+Z18</f>
        <v>886457194</v>
      </c>
      <c r="AA23" s="948">
        <f t="shared" ref="AA23:AE23" si="11">AA22+AA21+AA20+AA19+AA18</f>
        <v>840303091</v>
      </c>
      <c r="AB23" s="948">
        <f t="shared" si="11"/>
        <v>0</v>
      </c>
      <c r="AC23" s="948">
        <f t="shared" si="11"/>
        <v>0</v>
      </c>
      <c r="AD23" s="948">
        <f t="shared" si="11"/>
        <v>0</v>
      </c>
      <c r="AE23" s="948">
        <f t="shared" si="11"/>
        <v>0</v>
      </c>
      <c r="AF23" s="283"/>
      <c r="AG23" s="283"/>
      <c r="AH23" s="283"/>
      <c r="AI23" s="283"/>
      <c r="AJ23" s="283"/>
      <c r="AK23" s="283"/>
      <c r="AL23" s="283"/>
      <c r="AM23" s="283"/>
      <c r="AN23" s="278"/>
      <c r="AO23" s="278"/>
      <c r="AP23" s="260"/>
    </row>
    <row r="24" spans="1:42" s="218" customFormat="1" ht="18" customHeight="1">
      <c r="A24" s="959"/>
      <c r="B24" s="960"/>
      <c r="C24" s="960"/>
      <c r="D24" s="960"/>
      <c r="E24" s="960"/>
      <c r="F24" s="960"/>
      <c r="G24" s="960"/>
      <c r="H24" s="960"/>
      <c r="I24" s="960"/>
      <c r="J24" s="961"/>
      <c r="K24" s="328">
        <v>100</v>
      </c>
      <c r="L24" s="328" t="s">
        <v>358</v>
      </c>
      <c r="M24" s="347">
        <v>1</v>
      </c>
      <c r="N24" s="347">
        <v>1</v>
      </c>
      <c r="O24" s="347">
        <v>1</v>
      </c>
      <c r="P24" s="347">
        <v>1</v>
      </c>
      <c r="Q24" s="328"/>
      <c r="R24" s="329"/>
      <c r="S24" s="950"/>
      <c r="T24" s="476"/>
      <c r="U24" s="950"/>
      <c r="V24" s="366">
        <f>AVERAGE(V22+V20+V19)</f>
        <v>203587445</v>
      </c>
      <c r="W24" s="366">
        <f t="shared" ref="W24:Y24" si="12">AVERAGE(W22+W20+W19)</f>
        <v>813163649</v>
      </c>
      <c r="X24" s="366">
        <f t="shared" si="12"/>
        <v>0</v>
      </c>
      <c r="Y24" s="366">
        <f t="shared" si="12"/>
        <v>0</v>
      </c>
      <c r="Z24" s="950"/>
      <c r="AA24" s="950"/>
      <c r="AB24" s="950"/>
      <c r="AC24" s="950"/>
      <c r="AD24" s="950"/>
      <c r="AE24" s="950"/>
      <c r="AF24" s="283"/>
      <c r="AG24" s="283"/>
      <c r="AH24" s="283"/>
      <c r="AI24" s="283"/>
      <c r="AJ24" s="283"/>
      <c r="AK24" s="283"/>
      <c r="AL24" s="283"/>
      <c r="AM24" s="283"/>
      <c r="AN24" s="278"/>
      <c r="AO24" s="278"/>
      <c r="AP24" s="260"/>
    </row>
    <row r="25" spans="1:42" s="218" customFormat="1" ht="22.5" customHeight="1">
      <c r="A25" s="935"/>
      <c r="B25" s="936"/>
      <c r="C25" s="936"/>
      <c r="D25" s="936"/>
      <c r="E25" s="936"/>
      <c r="F25" s="936"/>
      <c r="G25" s="936"/>
      <c r="H25" s="936"/>
      <c r="I25" s="936"/>
      <c r="J25" s="937"/>
      <c r="K25" s="328">
        <f>K21</f>
        <v>32</v>
      </c>
      <c r="L25" s="328" t="s">
        <v>86</v>
      </c>
      <c r="M25" s="328">
        <f>M21</f>
        <v>8</v>
      </c>
      <c r="N25" s="328">
        <f t="shared" ref="N25:P25" si="13">N21</f>
        <v>8</v>
      </c>
      <c r="O25" s="328">
        <f t="shared" si="13"/>
        <v>8</v>
      </c>
      <c r="P25" s="328">
        <f t="shared" si="13"/>
        <v>8</v>
      </c>
      <c r="Q25" s="328"/>
      <c r="R25" s="329"/>
      <c r="S25" s="949"/>
      <c r="T25" s="477"/>
      <c r="U25" s="949"/>
      <c r="V25" s="328">
        <f>V21</f>
        <v>0</v>
      </c>
      <c r="W25" s="328">
        <f t="shared" ref="W25:Y25" si="14">W21</f>
        <v>9639442</v>
      </c>
      <c r="X25" s="328">
        <f t="shared" si="14"/>
        <v>0</v>
      </c>
      <c r="Y25" s="328">
        <f t="shared" si="14"/>
        <v>0</v>
      </c>
      <c r="Z25" s="949"/>
      <c r="AA25" s="949"/>
      <c r="AB25" s="949"/>
      <c r="AC25" s="949"/>
      <c r="AD25" s="949"/>
      <c r="AE25" s="949"/>
      <c r="AF25" s="283"/>
      <c r="AG25" s="283"/>
      <c r="AH25" s="283"/>
      <c r="AI25" s="283"/>
      <c r="AJ25" s="283"/>
      <c r="AK25" s="283"/>
      <c r="AL25" s="283"/>
      <c r="AM25" s="283"/>
      <c r="AN25" s="278"/>
      <c r="AO25" s="278"/>
      <c r="AP25" s="260"/>
    </row>
    <row r="26" spans="1:42" s="218" customFormat="1" ht="96.75" customHeight="1">
      <c r="A26" s="686" t="s">
        <v>207</v>
      </c>
      <c r="B26" s="686" t="s">
        <v>208</v>
      </c>
      <c r="C26" s="686" t="s">
        <v>209</v>
      </c>
      <c r="D26" s="686" t="s">
        <v>18</v>
      </c>
      <c r="E26" s="686" t="s">
        <v>51</v>
      </c>
      <c r="F26" s="686">
        <v>90</v>
      </c>
      <c r="G26" s="686" t="s">
        <v>211</v>
      </c>
      <c r="H26" s="94" t="s">
        <v>212</v>
      </c>
      <c r="I26" s="94" t="s">
        <v>17</v>
      </c>
      <c r="J26" s="115" t="s">
        <v>500</v>
      </c>
      <c r="K26" s="262">
        <v>30</v>
      </c>
      <c r="L26" s="262" t="s">
        <v>358</v>
      </c>
      <c r="M26" s="262">
        <v>0</v>
      </c>
      <c r="N26" s="262">
        <v>5</v>
      </c>
      <c r="O26" s="262">
        <v>15</v>
      </c>
      <c r="P26" s="262">
        <v>30</v>
      </c>
      <c r="Q26" s="177" t="s">
        <v>27</v>
      </c>
      <c r="R26" s="116"/>
      <c r="S26" s="257">
        <f>1800000000+30000000</f>
        <v>1830000000</v>
      </c>
      <c r="T26" s="470">
        <f>814580337-312000000</f>
        <v>502580337</v>
      </c>
      <c r="U26" s="246">
        <f>+S26+T26</f>
        <v>2332580337</v>
      </c>
      <c r="V26" s="257">
        <v>93349967</v>
      </c>
      <c r="W26" s="257">
        <v>490464744</v>
      </c>
      <c r="X26" s="257"/>
      <c r="Y26" s="257"/>
      <c r="Z26" s="257">
        <v>94538182</v>
      </c>
      <c r="AA26" s="496">
        <v>490464744</v>
      </c>
      <c r="AB26" s="257"/>
      <c r="AC26" s="257"/>
      <c r="AD26" s="257"/>
      <c r="AE26" s="257"/>
      <c r="AF26" s="257"/>
      <c r="AG26" s="257"/>
      <c r="AH26" s="257"/>
      <c r="AI26" s="257"/>
      <c r="AJ26" s="257"/>
      <c r="AK26" s="257"/>
      <c r="AL26" s="257"/>
      <c r="AM26" s="257"/>
      <c r="AN26" s="277" t="s">
        <v>24</v>
      </c>
      <c r="AO26" s="277" t="s">
        <v>24</v>
      </c>
      <c r="AP26" s="700" t="s">
        <v>334</v>
      </c>
    </row>
    <row r="27" spans="1:42" s="218" customFormat="1" ht="60" customHeight="1">
      <c r="A27" s="687"/>
      <c r="B27" s="687"/>
      <c r="C27" s="687"/>
      <c r="D27" s="687"/>
      <c r="E27" s="687"/>
      <c r="F27" s="687"/>
      <c r="G27" s="687"/>
      <c r="H27" s="94" t="s">
        <v>213</v>
      </c>
      <c r="I27" s="94" t="s">
        <v>17</v>
      </c>
      <c r="J27" s="96" t="s">
        <v>405</v>
      </c>
      <c r="K27" s="277">
        <v>1</v>
      </c>
      <c r="L27" s="277" t="s">
        <v>399</v>
      </c>
      <c r="M27" s="277">
        <v>0</v>
      </c>
      <c r="N27" s="277">
        <v>1</v>
      </c>
      <c r="O27" s="277">
        <v>0</v>
      </c>
      <c r="P27" s="277">
        <v>0</v>
      </c>
      <c r="Q27" s="100" t="s">
        <v>352</v>
      </c>
      <c r="R27" s="256"/>
      <c r="S27" s="257">
        <v>700000000</v>
      </c>
      <c r="T27" s="469"/>
      <c r="U27" s="470">
        <f t="shared" ref="U27:U31" si="15">+S27+T27</f>
        <v>700000000</v>
      </c>
      <c r="V27" s="257">
        <v>0</v>
      </c>
      <c r="W27" s="257">
        <v>147148509</v>
      </c>
      <c r="X27" s="257"/>
      <c r="Y27" s="257"/>
      <c r="Z27" s="257">
        <v>0</v>
      </c>
      <c r="AA27" s="496">
        <v>147148509</v>
      </c>
      <c r="AB27" s="257"/>
      <c r="AC27" s="257"/>
      <c r="AD27" s="257"/>
      <c r="AE27" s="257"/>
      <c r="AF27" s="257"/>
      <c r="AG27" s="257"/>
      <c r="AH27" s="257"/>
      <c r="AI27" s="257"/>
      <c r="AJ27" s="257"/>
      <c r="AK27" s="257"/>
      <c r="AL27" s="257"/>
      <c r="AM27" s="257"/>
      <c r="AN27" s="277" t="s">
        <v>24</v>
      </c>
      <c r="AO27" s="277" t="s">
        <v>24</v>
      </c>
      <c r="AP27" s="701"/>
    </row>
    <row r="28" spans="1:42" s="218" customFormat="1" ht="81" customHeight="1" thickBot="1">
      <c r="A28" s="687"/>
      <c r="B28" s="687"/>
      <c r="C28" s="687"/>
      <c r="D28" s="687"/>
      <c r="E28" s="687"/>
      <c r="F28" s="687"/>
      <c r="G28" s="687"/>
      <c r="H28" s="94" t="s">
        <v>214</v>
      </c>
      <c r="I28" s="94" t="s">
        <v>17</v>
      </c>
      <c r="J28" s="96" t="s">
        <v>406</v>
      </c>
      <c r="K28" s="277">
        <v>1</v>
      </c>
      <c r="L28" s="277" t="s">
        <v>399</v>
      </c>
      <c r="M28" s="277">
        <v>0</v>
      </c>
      <c r="N28" s="277">
        <v>0</v>
      </c>
      <c r="O28" s="277">
        <v>0</v>
      </c>
      <c r="P28" s="277">
        <v>1</v>
      </c>
      <c r="Q28" s="100"/>
      <c r="R28" s="256"/>
      <c r="S28" s="257">
        <v>59535000</v>
      </c>
      <c r="T28" s="469"/>
      <c r="U28" s="470">
        <f t="shared" si="15"/>
        <v>59535000</v>
      </c>
      <c r="V28" s="257">
        <v>0</v>
      </c>
      <c r="W28" s="257">
        <v>0</v>
      </c>
      <c r="X28" s="257"/>
      <c r="Y28" s="257"/>
      <c r="Z28" s="257">
        <v>0</v>
      </c>
      <c r="AA28" s="496">
        <v>0</v>
      </c>
      <c r="AB28" s="257"/>
      <c r="AC28" s="257"/>
      <c r="AD28" s="257"/>
      <c r="AE28" s="257"/>
      <c r="AF28" s="257"/>
      <c r="AG28" s="257"/>
      <c r="AH28" s="257"/>
      <c r="AI28" s="257"/>
      <c r="AJ28" s="257"/>
      <c r="AK28" s="257"/>
      <c r="AL28" s="257"/>
      <c r="AM28" s="257"/>
      <c r="AN28" s="277" t="s">
        <v>24</v>
      </c>
      <c r="AO28" s="277" t="s">
        <v>24</v>
      </c>
      <c r="AP28" s="701"/>
    </row>
    <row r="29" spans="1:42" s="218" customFormat="1" ht="81" customHeight="1">
      <c r="A29" s="687"/>
      <c r="B29" s="687"/>
      <c r="C29" s="687"/>
      <c r="D29" s="687"/>
      <c r="E29" s="687"/>
      <c r="F29" s="687"/>
      <c r="G29" s="687"/>
      <c r="H29" s="101" t="s">
        <v>217</v>
      </c>
      <c r="I29" s="94" t="s">
        <v>18</v>
      </c>
      <c r="J29" s="193" t="s">
        <v>407</v>
      </c>
      <c r="K29" s="277">
        <v>100</v>
      </c>
      <c r="L29" s="284" t="s">
        <v>358</v>
      </c>
      <c r="M29" s="373">
        <v>0</v>
      </c>
      <c r="N29" s="373">
        <v>50</v>
      </c>
      <c r="O29" s="373"/>
      <c r="P29" s="373">
        <v>100</v>
      </c>
      <c r="Q29" s="100" t="s">
        <v>657</v>
      </c>
      <c r="R29" s="256"/>
      <c r="S29" s="257">
        <v>300000000</v>
      </c>
      <c r="T29" s="469"/>
      <c r="U29" s="470">
        <f t="shared" si="15"/>
        <v>300000000</v>
      </c>
      <c r="V29" s="257">
        <v>79593150</v>
      </c>
      <c r="W29" s="257">
        <v>114973257</v>
      </c>
      <c r="X29" s="257"/>
      <c r="Y29" s="257"/>
      <c r="Z29" s="257">
        <f>179306952-40000000</f>
        <v>139306952</v>
      </c>
      <c r="AA29" s="496">
        <v>114973257</v>
      </c>
      <c r="AB29" s="257"/>
      <c r="AC29" s="257"/>
      <c r="AD29" s="257"/>
      <c r="AE29" s="257"/>
      <c r="AF29" s="257"/>
      <c r="AG29" s="257"/>
      <c r="AH29" s="257"/>
      <c r="AI29" s="257"/>
      <c r="AJ29" s="257"/>
      <c r="AK29" s="257"/>
      <c r="AL29" s="257"/>
      <c r="AM29" s="257"/>
      <c r="AN29" s="277" t="s">
        <v>24</v>
      </c>
      <c r="AO29" s="277" t="s">
        <v>24</v>
      </c>
      <c r="AP29" s="701"/>
    </row>
    <row r="30" spans="1:42" s="218" customFormat="1" ht="101.25" customHeight="1">
      <c r="A30" s="687"/>
      <c r="B30" s="687"/>
      <c r="C30" s="688"/>
      <c r="D30" s="688"/>
      <c r="E30" s="688"/>
      <c r="F30" s="688"/>
      <c r="G30" s="687"/>
      <c r="H30" s="94" t="s">
        <v>215</v>
      </c>
      <c r="I30" s="94" t="s">
        <v>18</v>
      </c>
      <c r="J30" s="96" t="s">
        <v>408</v>
      </c>
      <c r="K30" s="277">
        <v>100</v>
      </c>
      <c r="L30" s="277" t="s">
        <v>358</v>
      </c>
      <c r="M30" s="373">
        <v>25</v>
      </c>
      <c r="N30" s="373">
        <v>50</v>
      </c>
      <c r="O30" s="373">
        <v>75</v>
      </c>
      <c r="P30" s="373">
        <v>100</v>
      </c>
      <c r="Q30" s="100" t="s">
        <v>352</v>
      </c>
      <c r="R30" s="256"/>
      <c r="S30" s="257">
        <v>40000000</v>
      </c>
      <c r="T30" s="469"/>
      <c r="U30" s="470">
        <f t="shared" si="15"/>
        <v>40000000</v>
      </c>
      <c r="V30" s="257">
        <v>0</v>
      </c>
      <c r="W30" s="257">
        <v>0</v>
      </c>
      <c r="X30" s="257"/>
      <c r="Y30" s="257"/>
      <c r="Z30" s="257">
        <v>40000000</v>
      </c>
      <c r="AA30" s="496">
        <v>0</v>
      </c>
      <c r="AB30" s="257"/>
      <c r="AC30" s="257"/>
      <c r="AD30" s="257"/>
      <c r="AE30" s="257"/>
      <c r="AF30" s="257"/>
      <c r="AG30" s="257"/>
      <c r="AH30" s="257"/>
      <c r="AI30" s="257"/>
      <c r="AJ30" s="257"/>
      <c r="AK30" s="257"/>
      <c r="AL30" s="257"/>
      <c r="AM30" s="257"/>
      <c r="AN30" s="277" t="s">
        <v>24</v>
      </c>
      <c r="AO30" s="277" t="s">
        <v>24</v>
      </c>
      <c r="AP30" s="701"/>
    </row>
    <row r="31" spans="1:42" s="218" customFormat="1" ht="56.25" customHeight="1" thickBot="1">
      <c r="A31" s="752"/>
      <c r="B31" s="752"/>
      <c r="C31" s="262" t="s">
        <v>210</v>
      </c>
      <c r="D31" s="262" t="s">
        <v>18</v>
      </c>
      <c r="E31" s="103" t="s">
        <v>51</v>
      </c>
      <c r="F31" s="262">
        <v>75</v>
      </c>
      <c r="G31" s="752"/>
      <c r="H31" s="103" t="s">
        <v>216</v>
      </c>
      <c r="I31" s="103" t="s">
        <v>18</v>
      </c>
      <c r="J31" s="115" t="s">
        <v>409</v>
      </c>
      <c r="K31" s="373">
        <v>70</v>
      </c>
      <c r="L31" s="262" t="s">
        <v>358</v>
      </c>
      <c r="M31" s="373">
        <v>0</v>
      </c>
      <c r="N31" s="373">
        <v>10</v>
      </c>
      <c r="O31" s="373">
        <v>30</v>
      </c>
      <c r="P31" s="373">
        <v>70</v>
      </c>
      <c r="Q31" s="262" t="s">
        <v>353</v>
      </c>
      <c r="R31" s="116"/>
      <c r="S31" s="257">
        <v>167000000</v>
      </c>
      <c r="T31" s="470">
        <v>0</v>
      </c>
      <c r="U31" s="470">
        <f t="shared" si="15"/>
        <v>167000000</v>
      </c>
      <c r="V31" s="257">
        <v>46912886</v>
      </c>
      <c r="W31" s="257">
        <v>70828800</v>
      </c>
      <c r="X31" s="257"/>
      <c r="Y31" s="257"/>
      <c r="Z31" s="257">
        <v>0</v>
      </c>
      <c r="AA31" s="496">
        <v>70828800</v>
      </c>
      <c r="AB31" s="257"/>
      <c r="AC31" s="257"/>
      <c r="AD31" s="257"/>
      <c r="AE31" s="257"/>
      <c r="AF31" s="257"/>
      <c r="AG31" s="257"/>
      <c r="AH31" s="257"/>
      <c r="AI31" s="257"/>
      <c r="AJ31" s="257"/>
      <c r="AK31" s="257"/>
      <c r="AL31" s="257"/>
      <c r="AM31" s="257"/>
      <c r="AN31" s="277" t="s">
        <v>24</v>
      </c>
      <c r="AO31" s="277" t="s">
        <v>24</v>
      </c>
      <c r="AP31" s="702"/>
    </row>
    <row r="32" spans="1:42" s="218" customFormat="1" ht="24" customHeight="1">
      <c r="A32" s="932" t="s">
        <v>607</v>
      </c>
      <c r="B32" s="933"/>
      <c r="C32" s="933"/>
      <c r="D32" s="933"/>
      <c r="E32" s="933"/>
      <c r="F32" s="933"/>
      <c r="G32" s="933"/>
      <c r="H32" s="933"/>
      <c r="I32" s="933"/>
      <c r="J32" s="934"/>
      <c r="K32" s="278">
        <f>K28+K27</f>
        <v>2</v>
      </c>
      <c r="L32" s="278" t="s">
        <v>452</v>
      </c>
      <c r="M32" s="331">
        <f t="shared" ref="M32:P32" si="16">M28+M27</f>
        <v>0</v>
      </c>
      <c r="N32" s="331">
        <f t="shared" si="16"/>
        <v>1</v>
      </c>
      <c r="O32" s="331">
        <f t="shared" si="16"/>
        <v>0</v>
      </c>
      <c r="P32" s="331">
        <f t="shared" si="16"/>
        <v>1</v>
      </c>
      <c r="Q32" s="278"/>
      <c r="R32" s="282"/>
      <c r="S32" s="948">
        <f>S31+S30+S29+S28+S27+S26</f>
        <v>3096535000</v>
      </c>
      <c r="T32" s="475"/>
      <c r="U32" s="948">
        <f>U31+U30+U29+U28+U27+U26</f>
        <v>3599115337</v>
      </c>
      <c r="V32" s="331">
        <f>V28+V27</f>
        <v>0</v>
      </c>
      <c r="W32" s="331">
        <f>W28+W27</f>
        <v>147148509</v>
      </c>
      <c r="X32" s="331">
        <f>X28+X27</f>
        <v>0</v>
      </c>
      <c r="Y32" s="331">
        <f>Y28+Y27</f>
        <v>0</v>
      </c>
      <c r="Z32" s="948">
        <f>Z31+Z30+Z29+Z28+Z27+Z26</f>
        <v>273845134</v>
      </c>
      <c r="AA32" s="948">
        <f>AA31+AA30+AA29+AA28+AA27+AA26</f>
        <v>823415310</v>
      </c>
      <c r="AB32" s="948">
        <f>AB31+AB30+AB29+AB28+AB27+AB26</f>
        <v>0</v>
      </c>
      <c r="AC32" s="948">
        <f>AC31+AC30+AC29+AC28+AC27+AC26</f>
        <v>0</v>
      </c>
      <c r="AD32" s="283"/>
      <c r="AE32" s="283"/>
      <c r="AF32" s="283"/>
      <c r="AG32" s="283"/>
      <c r="AH32" s="283"/>
      <c r="AI32" s="283"/>
      <c r="AJ32" s="283"/>
      <c r="AK32" s="283"/>
      <c r="AL32" s="283"/>
      <c r="AM32" s="283"/>
      <c r="AN32" s="278"/>
      <c r="AO32" s="278"/>
    </row>
    <row r="33" spans="1:41" s="218" customFormat="1" ht="30" customHeight="1">
      <c r="A33" s="935"/>
      <c r="B33" s="936"/>
      <c r="C33" s="936"/>
      <c r="D33" s="936"/>
      <c r="E33" s="936"/>
      <c r="F33" s="936"/>
      <c r="G33" s="936"/>
      <c r="H33" s="936"/>
      <c r="I33" s="936"/>
      <c r="J33" s="937"/>
      <c r="K33" s="278">
        <v>100</v>
      </c>
      <c r="L33" s="278" t="s">
        <v>18</v>
      </c>
      <c r="M33" s="278">
        <v>100</v>
      </c>
      <c r="N33" s="278">
        <v>100</v>
      </c>
      <c r="O33" s="278">
        <v>100</v>
      </c>
      <c r="P33" s="278">
        <v>100</v>
      </c>
      <c r="Q33" s="278"/>
      <c r="R33" s="282"/>
      <c r="S33" s="949"/>
      <c r="T33" s="477"/>
      <c r="U33" s="949"/>
      <c r="V33" s="486">
        <f>AVERAGE(V31+V30+V29+V26)</f>
        <v>219856003</v>
      </c>
      <c r="W33" s="486">
        <f t="shared" ref="W33:Y33" si="17">AVERAGE(W31+W30+W29+W26)</f>
        <v>676266801</v>
      </c>
      <c r="X33" s="366">
        <f t="shared" si="17"/>
        <v>0</v>
      </c>
      <c r="Y33" s="366">
        <f t="shared" si="17"/>
        <v>0</v>
      </c>
      <c r="Z33" s="949"/>
      <c r="AA33" s="949"/>
      <c r="AB33" s="949"/>
      <c r="AC33" s="949"/>
      <c r="AD33" s="283"/>
      <c r="AE33" s="283"/>
      <c r="AF33" s="283"/>
      <c r="AG33" s="283"/>
      <c r="AH33" s="283"/>
      <c r="AI33" s="283"/>
      <c r="AJ33" s="283"/>
      <c r="AK33" s="283"/>
      <c r="AL33" s="283"/>
      <c r="AM33" s="283"/>
      <c r="AN33" s="278"/>
      <c r="AO33" s="278"/>
    </row>
    <row r="34" spans="1:41" s="218" customFormat="1">
      <c r="A34" s="3"/>
      <c r="B34" s="3"/>
      <c r="C34" s="3"/>
      <c r="D34" s="3"/>
      <c r="E34" s="3"/>
      <c r="F34" s="3"/>
      <c r="G34" s="3"/>
      <c r="H34" s="3"/>
      <c r="I34" s="3"/>
      <c r="J34" s="5"/>
      <c r="K34" s="3"/>
      <c r="L34" s="3"/>
      <c r="M34" s="3"/>
      <c r="N34" s="3"/>
      <c r="O34" s="3"/>
      <c r="P34" s="3"/>
      <c r="Q34" s="7">
        <v>59707696938</v>
      </c>
      <c r="R34" s="3"/>
      <c r="S34" s="8"/>
      <c r="T34" s="8"/>
      <c r="U34" s="13" t="e">
        <f>#REF!-#REF!</f>
        <v>#REF!</v>
      </c>
      <c r="V34" s="13"/>
      <c r="W34" s="13"/>
      <c r="X34" s="13"/>
      <c r="Y34" s="13"/>
      <c r="Z34" s="13"/>
      <c r="AA34" s="13"/>
      <c r="AB34" s="13"/>
      <c r="AC34" s="13"/>
      <c r="AD34" s="13"/>
      <c r="AE34" s="13"/>
      <c r="AF34" s="13"/>
      <c r="AG34" s="13"/>
      <c r="AH34" s="13"/>
      <c r="AI34" s="13"/>
      <c r="AJ34" s="13"/>
      <c r="AK34" s="13"/>
      <c r="AL34" s="13"/>
      <c r="AM34" s="13"/>
      <c r="AN34" s="3"/>
      <c r="AO34" s="3"/>
    </row>
    <row r="35" spans="1:41" s="218" customFormat="1">
      <c r="A35" s="3"/>
      <c r="B35" s="3"/>
      <c r="C35" s="3"/>
      <c r="D35" s="3"/>
      <c r="E35" s="3"/>
      <c r="F35" s="3"/>
      <c r="G35" s="3"/>
      <c r="H35" s="3"/>
      <c r="I35" s="3"/>
      <c r="J35" s="5"/>
      <c r="K35" s="3"/>
      <c r="L35" s="3"/>
      <c r="M35" s="3"/>
      <c r="N35" s="3"/>
      <c r="O35" s="3"/>
      <c r="P35" s="3"/>
      <c r="Q35" s="7">
        <f>+Q33-Q34</f>
        <v>-59707696938</v>
      </c>
      <c r="R35" s="3"/>
      <c r="S35" s="8"/>
      <c r="T35" s="8"/>
      <c r="U35" s="8"/>
      <c r="V35" s="8"/>
      <c r="W35" s="8"/>
      <c r="X35" s="8"/>
      <c r="Y35" s="8"/>
      <c r="Z35" s="8"/>
      <c r="AA35" s="8"/>
      <c r="AB35" s="8"/>
      <c r="AC35" s="8"/>
      <c r="AD35" s="8"/>
      <c r="AE35" s="8"/>
      <c r="AF35" s="8"/>
      <c r="AG35" s="8"/>
      <c r="AH35" s="8"/>
      <c r="AI35" s="8"/>
      <c r="AJ35" s="8"/>
      <c r="AK35" s="8"/>
      <c r="AL35" s="8"/>
      <c r="AM35" s="8"/>
      <c r="AN35" s="3"/>
      <c r="AO35" s="3"/>
    </row>
    <row r="36" spans="1:41" s="218" customFormat="1">
      <c r="A36" s="3"/>
      <c r="B36" s="3"/>
      <c r="C36" s="3"/>
      <c r="D36" s="3"/>
      <c r="E36" s="3"/>
      <c r="F36" s="3"/>
      <c r="G36" s="3"/>
      <c r="H36" s="3"/>
      <c r="I36" s="3"/>
      <c r="J36" s="5"/>
      <c r="K36" s="3"/>
      <c r="L36" s="3"/>
      <c r="M36" s="3"/>
      <c r="N36" s="3"/>
      <c r="O36" s="3"/>
      <c r="P36" s="3"/>
      <c r="Q36" s="7"/>
      <c r="R36" s="3"/>
      <c r="S36" s="8"/>
      <c r="T36" s="8"/>
      <c r="U36" s="8"/>
      <c r="V36" s="8"/>
      <c r="W36" s="8"/>
      <c r="X36" s="8"/>
      <c r="Y36" s="8"/>
      <c r="Z36" s="8"/>
      <c r="AA36" s="8"/>
      <c r="AB36" s="8"/>
      <c r="AC36" s="8"/>
      <c r="AD36" s="8"/>
      <c r="AE36" s="8"/>
      <c r="AF36" s="8"/>
      <c r="AG36" s="8"/>
      <c r="AH36" s="8"/>
      <c r="AI36" s="8"/>
      <c r="AJ36" s="8"/>
      <c r="AK36" s="8"/>
      <c r="AL36" s="8"/>
      <c r="AM36" s="8"/>
      <c r="AN36" s="3"/>
      <c r="AO36" s="3"/>
    </row>
    <row r="37" spans="1:41" s="218" customFormat="1" ht="15" customHeight="1">
      <c r="A37" s="942" t="s">
        <v>601</v>
      </c>
      <c r="B37" s="943"/>
      <c r="C37" s="943"/>
      <c r="D37" s="943"/>
      <c r="E37" s="943"/>
      <c r="F37" s="943"/>
      <c r="G37" s="943"/>
      <c r="H37" s="943"/>
      <c r="I37" s="943"/>
      <c r="J37" s="943"/>
      <c r="K37" s="944"/>
      <c r="Q37" s="7"/>
      <c r="R37" s="3"/>
      <c r="S37" s="8"/>
      <c r="T37" s="8"/>
      <c r="U37" s="8" t="e">
        <f>#REF!-U40</f>
        <v>#REF!</v>
      </c>
      <c r="V37" s="8"/>
      <c r="W37" s="8"/>
      <c r="X37" s="8"/>
      <c r="Y37" s="8"/>
      <c r="Z37" s="8"/>
      <c r="AA37" s="8"/>
      <c r="AB37" s="8"/>
      <c r="AC37" s="8"/>
      <c r="AD37" s="8"/>
      <c r="AE37" s="8"/>
      <c r="AF37" s="8"/>
      <c r="AG37" s="8"/>
      <c r="AH37" s="8"/>
      <c r="AI37" s="8"/>
      <c r="AJ37" s="8"/>
      <c r="AK37" s="8"/>
      <c r="AL37" s="8"/>
      <c r="AM37" s="8"/>
      <c r="AN37" s="3"/>
      <c r="AO37" s="3"/>
    </row>
    <row r="38" spans="1:41" s="218" customFormat="1" ht="60">
      <c r="A38" s="318" t="s">
        <v>598</v>
      </c>
      <c r="B38" s="319" t="s">
        <v>587</v>
      </c>
      <c r="C38" s="319" t="s">
        <v>588</v>
      </c>
      <c r="D38" s="319" t="s">
        <v>589</v>
      </c>
      <c r="E38" s="319" t="s">
        <v>590</v>
      </c>
      <c r="F38" s="319" t="s">
        <v>589</v>
      </c>
      <c r="G38" s="319" t="s">
        <v>591</v>
      </c>
      <c r="H38" s="319" t="s">
        <v>589</v>
      </c>
      <c r="I38" s="319"/>
      <c r="J38" s="319" t="s">
        <v>592</v>
      </c>
      <c r="K38" s="319" t="s">
        <v>589</v>
      </c>
      <c r="Q38" s="178" t="e">
        <f>Q34-#REF!</f>
        <v>#REF!</v>
      </c>
      <c r="R38" s="3"/>
      <c r="S38" s="8"/>
      <c r="T38" s="8"/>
      <c r="U38" s="8"/>
      <c r="V38" s="8"/>
      <c r="W38" s="8"/>
      <c r="X38" s="8"/>
      <c r="Y38" s="8"/>
      <c r="Z38" s="8"/>
      <c r="AA38" s="8"/>
      <c r="AB38" s="8"/>
      <c r="AC38" s="8"/>
      <c r="AD38" s="8"/>
      <c r="AE38" s="8"/>
      <c r="AF38" s="8"/>
      <c r="AG38" s="8"/>
      <c r="AH38" s="8"/>
      <c r="AI38" s="8"/>
      <c r="AJ38" s="8"/>
      <c r="AK38" s="8"/>
      <c r="AL38" s="8"/>
      <c r="AM38" s="8"/>
      <c r="AN38" s="3"/>
      <c r="AO38" s="3"/>
    </row>
    <row r="39" spans="1:41" s="218" customFormat="1">
      <c r="A39" s="303" t="s">
        <v>599</v>
      </c>
      <c r="B39" s="303">
        <f>K11</f>
        <v>1</v>
      </c>
      <c r="C39" s="311">
        <f>V11</f>
        <v>0</v>
      </c>
      <c r="D39" s="314">
        <f>B39*C39/100</f>
        <v>0</v>
      </c>
      <c r="E39" s="303">
        <f>W11</f>
        <v>0</v>
      </c>
      <c r="F39" s="314">
        <f>B39*E39/100</f>
        <v>0</v>
      </c>
      <c r="G39" s="303">
        <f>X16</f>
        <v>0</v>
      </c>
      <c r="H39" s="314">
        <f>B39*G39/100</f>
        <v>0</v>
      </c>
      <c r="I39" s="304"/>
      <c r="J39" s="303">
        <f>Y11</f>
        <v>0</v>
      </c>
      <c r="K39" s="314">
        <f>B39*J39/100</f>
        <v>0</v>
      </c>
      <c r="Q39" s="7"/>
      <c r="R39" s="16" t="e">
        <f>U40-#REF!</f>
        <v>#REF!</v>
      </c>
      <c r="S39" s="8"/>
      <c r="T39" s="8"/>
      <c r="U39" s="8"/>
      <c r="V39" s="8"/>
      <c r="W39" s="8"/>
      <c r="X39" s="8"/>
      <c r="Y39" s="8"/>
      <c r="Z39" s="8"/>
      <c r="AA39" s="8"/>
      <c r="AB39" s="8"/>
      <c r="AC39" s="8"/>
      <c r="AD39" s="8"/>
      <c r="AE39" s="8"/>
      <c r="AF39" s="8"/>
      <c r="AG39" s="8"/>
      <c r="AH39" s="8"/>
      <c r="AI39" s="8"/>
      <c r="AJ39" s="8"/>
      <c r="AK39" s="8"/>
      <c r="AL39" s="8"/>
      <c r="AM39" s="8"/>
      <c r="AN39" s="3"/>
      <c r="AO39" s="3"/>
    </row>
    <row r="40" spans="1:41" s="218" customFormat="1" ht="23.25">
      <c r="A40" s="303" t="s">
        <v>18</v>
      </c>
      <c r="B40" s="303">
        <f>K12</f>
        <v>100</v>
      </c>
      <c r="C40" s="314">
        <f>V12</f>
        <v>14156648</v>
      </c>
      <c r="D40" s="314">
        <f>B40*C40/100</f>
        <v>14156648</v>
      </c>
      <c r="E40" s="314">
        <f>W12</f>
        <v>0</v>
      </c>
      <c r="F40" s="314">
        <f>B40*E40/100</f>
        <v>0</v>
      </c>
      <c r="G40" s="314">
        <f>X17</f>
        <v>0</v>
      </c>
      <c r="H40" s="314">
        <f>B40*G40/100</f>
        <v>0</v>
      </c>
      <c r="I40" s="304"/>
      <c r="J40" s="303">
        <f>Y12</f>
        <v>0</v>
      </c>
      <c r="K40" s="314">
        <f>B40*J40/100</f>
        <v>0</v>
      </c>
      <c r="Q40" s="7"/>
      <c r="R40" s="3"/>
      <c r="S40" s="8"/>
      <c r="T40" s="8"/>
      <c r="U40" s="14">
        <v>90692582257</v>
      </c>
      <c r="V40" s="286"/>
      <c r="W40" s="286"/>
      <c r="X40" s="286"/>
      <c r="Y40" s="286"/>
      <c r="Z40" s="286"/>
      <c r="AA40" s="286"/>
      <c r="AB40" s="286"/>
      <c r="AC40" s="286"/>
      <c r="AD40" s="286"/>
      <c r="AE40" s="286"/>
      <c r="AF40" s="286"/>
      <c r="AG40" s="286"/>
      <c r="AH40" s="286"/>
      <c r="AI40" s="286"/>
      <c r="AJ40" s="286"/>
      <c r="AK40" s="286"/>
      <c r="AL40" s="286"/>
      <c r="AM40" s="286"/>
      <c r="AN40" s="15" t="e">
        <f>U40-#REF!</f>
        <v>#REF!</v>
      </c>
      <c r="AO40" s="3"/>
    </row>
    <row r="41" spans="1:41" s="218" customFormat="1">
      <c r="A41" s="7"/>
      <c r="B41" s="7"/>
      <c r="C41" s="7"/>
      <c r="D41" s="7"/>
      <c r="E41" s="7"/>
      <c r="F41" s="7"/>
      <c r="G41" s="7"/>
      <c r="H41" s="7"/>
      <c r="I41" s="306"/>
      <c r="J41" s="7"/>
      <c r="K41" s="3"/>
      <c r="Q41" s="7"/>
      <c r="R41" s="3"/>
      <c r="S41" s="8"/>
      <c r="T41" s="8"/>
      <c r="U41" s="8"/>
      <c r="V41" s="8"/>
      <c r="W41" s="8"/>
      <c r="X41" s="8"/>
      <c r="Y41" s="8"/>
      <c r="Z41" s="8"/>
      <c r="AA41" s="8"/>
      <c r="AB41" s="8"/>
      <c r="AC41" s="8"/>
      <c r="AD41" s="8"/>
      <c r="AE41" s="8"/>
      <c r="AF41" s="8"/>
      <c r="AG41" s="8"/>
      <c r="AH41" s="8"/>
      <c r="AI41" s="8"/>
      <c r="AJ41" s="8"/>
      <c r="AK41" s="8"/>
      <c r="AL41" s="8"/>
      <c r="AM41" s="8"/>
      <c r="AN41" s="3"/>
      <c r="AO41" s="3"/>
    </row>
    <row r="42" spans="1:41" s="218" customFormat="1" ht="15" customHeight="1">
      <c r="A42" s="945" t="s">
        <v>602</v>
      </c>
      <c r="B42" s="946"/>
      <c r="C42" s="946"/>
      <c r="D42" s="946"/>
      <c r="E42" s="946"/>
      <c r="F42" s="946"/>
      <c r="G42" s="946"/>
      <c r="H42" s="946"/>
      <c r="I42" s="946"/>
      <c r="J42" s="947"/>
      <c r="K42" s="3"/>
      <c r="Q42" s="178" t="e">
        <f>#REF!-Q34</f>
        <v>#REF!</v>
      </c>
      <c r="R42" s="3"/>
      <c r="S42" s="8"/>
      <c r="T42" s="8"/>
      <c r="U42" s="8"/>
      <c r="V42" s="8"/>
      <c r="W42" s="8"/>
      <c r="X42" s="8"/>
      <c r="Y42" s="8"/>
      <c r="Z42" s="8"/>
      <c r="AA42" s="8"/>
      <c r="AB42" s="8"/>
      <c r="AC42" s="8"/>
      <c r="AD42" s="8"/>
      <c r="AE42" s="8"/>
      <c r="AF42" s="8"/>
      <c r="AG42" s="8"/>
      <c r="AH42" s="8"/>
      <c r="AI42" s="8"/>
      <c r="AJ42" s="8"/>
      <c r="AK42" s="8"/>
      <c r="AL42" s="8"/>
      <c r="AM42" s="8"/>
      <c r="AN42" s="3"/>
      <c r="AO42" s="3"/>
    </row>
    <row r="43" spans="1:41" s="218" customFormat="1" ht="45">
      <c r="A43" s="316" t="s">
        <v>593</v>
      </c>
      <c r="B43" s="316" t="s">
        <v>594</v>
      </c>
      <c r="C43" s="316" t="s">
        <v>589</v>
      </c>
      <c r="D43" s="316" t="s">
        <v>595</v>
      </c>
      <c r="E43" s="316" t="s">
        <v>589</v>
      </c>
      <c r="F43" s="316" t="s">
        <v>596</v>
      </c>
      <c r="G43" s="316" t="s">
        <v>589</v>
      </c>
      <c r="H43" s="316" t="s">
        <v>597</v>
      </c>
      <c r="I43" s="317"/>
      <c r="J43" s="316" t="s">
        <v>589</v>
      </c>
      <c r="K43" s="3"/>
      <c r="Q43" s="7"/>
      <c r="R43" s="3"/>
      <c r="S43" s="8"/>
      <c r="T43" s="8"/>
      <c r="U43" s="8"/>
      <c r="V43" s="8"/>
      <c r="W43" s="8"/>
      <c r="X43" s="8"/>
      <c r="Y43" s="8"/>
      <c r="Z43" s="8"/>
      <c r="AA43" s="8"/>
      <c r="AB43" s="8"/>
      <c r="AC43" s="8"/>
      <c r="AD43" s="8"/>
      <c r="AE43" s="8"/>
      <c r="AF43" s="8"/>
      <c r="AG43" s="8"/>
      <c r="AH43" s="8"/>
      <c r="AI43" s="8"/>
      <c r="AJ43" s="8"/>
      <c r="AK43" s="8"/>
      <c r="AL43" s="8"/>
      <c r="AM43" s="8"/>
      <c r="AN43" s="3"/>
      <c r="AO43" s="3"/>
    </row>
    <row r="44" spans="1:41" s="218" customFormat="1">
      <c r="A44" s="309">
        <f>U11</f>
        <v>90341227.37184</v>
      </c>
      <c r="B44" s="309">
        <f>Z11</f>
        <v>19478824</v>
      </c>
      <c r="C44" s="315">
        <f>A44*B44/100</f>
        <v>17597408679200.539</v>
      </c>
      <c r="D44" s="309">
        <f>AA11</f>
        <v>7796610</v>
      </c>
      <c r="E44" s="315">
        <f>A44*D44/100</f>
        <v>7043553167395.6152</v>
      </c>
      <c r="F44" s="309">
        <f>AB11</f>
        <v>0</v>
      </c>
      <c r="G44" s="314">
        <f>A44*F44/100</f>
        <v>0</v>
      </c>
      <c r="H44" s="367">
        <f>AC11</f>
        <v>0</v>
      </c>
      <c r="I44" s="304"/>
      <c r="J44" s="314">
        <f>A44*H44/100</f>
        <v>0</v>
      </c>
      <c r="K44" s="3"/>
      <c r="Q44" s="7"/>
      <c r="R44" s="3"/>
      <c r="S44" s="8"/>
      <c r="T44" s="8"/>
      <c r="U44" s="8"/>
      <c r="V44" s="8"/>
      <c r="W44" s="8"/>
      <c r="X44" s="8"/>
      <c r="Y44" s="8"/>
      <c r="Z44" s="8"/>
      <c r="AA44" s="8"/>
      <c r="AB44" s="8"/>
      <c r="AC44" s="8"/>
      <c r="AD44" s="8"/>
      <c r="AE44" s="8"/>
      <c r="AF44" s="8"/>
      <c r="AG44" s="8"/>
      <c r="AH44" s="8"/>
      <c r="AI44" s="8"/>
      <c r="AJ44" s="8"/>
      <c r="AK44" s="8"/>
      <c r="AL44" s="8"/>
      <c r="AM44" s="8"/>
      <c r="AN44" s="3"/>
      <c r="AO44" s="3"/>
    </row>
    <row r="45" spans="1:41" s="218" customFormat="1">
      <c r="A45" s="303"/>
      <c r="B45" s="303"/>
      <c r="C45" s="303"/>
      <c r="D45" s="303"/>
      <c r="E45" s="303"/>
      <c r="F45" s="303"/>
      <c r="G45" s="303"/>
      <c r="H45" s="303"/>
      <c r="I45" s="304"/>
      <c r="J45" s="303"/>
      <c r="K45" s="3"/>
      <c r="Q45" s="7"/>
      <c r="R45" s="3"/>
      <c r="S45" s="8"/>
      <c r="T45" s="8"/>
      <c r="U45" s="8"/>
      <c r="V45" s="8"/>
      <c r="W45" s="8"/>
      <c r="X45" s="8"/>
      <c r="Y45" s="8"/>
      <c r="Z45" s="8"/>
      <c r="AA45" s="8"/>
      <c r="AB45" s="8"/>
      <c r="AC45" s="8"/>
      <c r="AD45" s="8"/>
      <c r="AE45" s="8"/>
      <c r="AF45" s="8"/>
      <c r="AG45" s="8"/>
      <c r="AH45" s="8"/>
      <c r="AI45" s="8"/>
      <c r="AJ45" s="8"/>
      <c r="AK45" s="8"/>
      <c r="AL45" s="8"/>
      <c r="AM45" s="8"/>
      <c r="AN45" s="3"/>
      <c r="AO45" s="3"/>
    </row>
    <row r="46" spans="1:41" s="218" customFormat="1">
      <c r="A46" s="3"/>
      <c r="B46" s="3"/>
      <c r="C46" s="3"/>
      <c r="D46" s="3"/>
      <c r="E46" s="3"/>
      <c r="F46" s="3"/>
      <c r="G46" s="3"/>
      <c r="H46" s="3"/>
      <c r="J46" s="3"/>
      <c r="K46" s="3"/>
      <c r="Q46" s="7"/>
      <c r="R46" s="3"/>
      <c r="S46" s="8"/>
      <c r="T46" s="8"/>
      <c r="U46" s="8"/>
      <c r="V46" s="8"/>
      <c r="W46" s="8"/>
      <c r="X46" s="8"/>
      <c r="Y46" s="8"/>
      <c r="Z46" s="8"/>
      <c r="AA46" s="8"/>
      <c r="AB46" s="8"/>
      <c r="AC46" s="8"/>
      <c r="AD46" s="8"/>
      <c r="AE46" s="8"/>
      <c r="AF46" s="8"/>
      <c r="AG46" s="8"/>
      <c r="AH46" s="8"/>
      <c r="AI46" s="8"/>
      <c r="AJ46" s="8"/>
      <c r="AK46" s="8"/>
      <c r="AL46" s="8"/>
      <c r="AM46" s="8"/>
      <c r="AN46" s="3"/>
      <c r="AO46" s="3"/>
    </row>
    <row r="47" spans="1:41" s="218" customFormat="1" ht="15" customHeight="1">
      <c r="A47" s="942" t="s">
        <v>603</v>
      </c>
      <c r="B47" s="943"/>
      <c r="C47" s="943"/>
      <c r="D47" s="943"/>
      <c r="E47" s="943"/>
      <c r="F47" s="943"/>
      <c r="G47" s="943"/>
      <c r="H47" s="943"/>
      <c r="I47" s="943"/>
      <c r="J47" s="943"/>
      <c r="K47" s="944"/>
      <c r="Q47" s="7"/>
      <c r="R47" s="3"/>
      <c r="S47" s="8"/>
      <c r="T47" s="8"/>
      <c r="U47" s="8"/>
      <c r="V47" s="8"/>
      <c r="W47" s="8"/>
      <c r="X47" s="8"/>
      <c r="Y47" s="8"/>
      <c r="Z47" s="8"/>
      <c r="AA47" s="8"/>
      <c r="AB47" s="8"/>
      <c r="AC47" s="8"/>
      <c r="AD47" s="8"/>
      <c r="AE47" s="8"/>
      <c r="AF47" s="8"/>
      <c r="AG47" s="8"/>
      <c r="AH47" s="8"/>
      <c r="AI47" s="8"/>
      <c r="AJ47" s="8"/>
      <c r="AK47" s="8"/>
      <c r="AL47" s="8"/>
      <c r="AM47" s="8"/>
      <c r="AN47" s="3"/>
      <c r="AO47" s="3"/>
    </row>
    <row r="48" spans="1:41" s="218" customFormat="1" ht="60">
      <c r="A48" s="318" t="s">
        <v>598</v>
      </c>
      <c r="B48" s="319" t="s">
        <v>587</v>
      </c>
      <c r="C48" s="319" t="s">
        <v>588</v>
      </c>
      <c r="D48" s="319" t="s">
        <v>589</v>
      </c>
      <c r="E48" s="319" t="s">
        <v>590</v>
      </c>
      <c r="F48" s="319" t="s">
        <v>589</v>
      </c>
      <c r="G48" s="319" t="s">
        <v>591</v>
      </c>
      <c r="H48" s="319" t="s">
        <v>589</v>
      </c>
      <c r="I48" s="319"/>
      <c r="J48" s="319" t="s">
        <v>592</v>
      </c>
      <c r="K48" s="319" t="s">
        <v>589</v>
      </c>
      <c r="Q48" s="7"/>
      <c r="R48" s="3"/>
      <c r="S48" s="8"/>
      <c r="T48" s="8"/>
      <c r="U48" s="8"/>
      <c r="V48" s="8"/>
      <c r="W48" s="8"/>
      <c r="X48" s="8"/>
      <c r="Y48" s="8"/>
      <c r="Z48" s="8"/>
      <c r="AA48" s="8"/>
      <c r="AB48" s="8"/>
      <c r="AC48" s="8"/>
      <c r="AD48" s="8"/>
      <c r="AE48" s="8"/>
      <c r="AF48" s="8"/>
      <c r="AG48" s="8"/>
      <c r="AH48" s="8"/>
      <c r="AI48" s="8"/>
      <c r="AJ48" s="8"/>
      <c r="AK48" s="8"/>
      <c r="AL48" s="8"/>
      <c r="AM48" s="8"/>
      <c r="AN48" s="3"/>
      <c r="AO48" s="3"/>
    </row>
    <row r="49" spans="1:41" s="218" customFormat="1">
      <c r="A49" s="303" t="s">
        <v>599</v>
      </c>
      <c r="B49" s="303">
        <f>K16</f>
        <v>2</v>
      </c>
      <c r="C49" s="311">
        <f>V16</f>
        <v>14165648</v>
      </c>
      <c r="D49" s="314">
        <f>B49*C49/100</f>
        <v>283312.96000000002</v>
      </c>
      <c r="E49" s="303">
        <f>W16</f>
        <v>0</v>
      </c>
      <c r="F49" s="314">
        <f>B49*E49/100</f>
        <v>0</v>
      </c>
      <c r="G49" s="311">
        <f>X16</f>
        <v>0</v>
      </c>
      <c r="H49" s="314">
        <f>B49*G49/100</f>
        <v>0</v>
      </c>
      <c r="I49" s="304"/>
      <c r="J49" s="303">
        <f>Y16</f>
        <v>0</v>
      </c>
      <c r="K49" s="314">
        <f>B49*J49/100</f>
        <v>0</v>
      </c>
      <c r="Q49" s="7"/>
      <c r="R49" s="3"/>
      <c r="S49" s="8"/>
      <c r="T49" s="8"/>
      <c r="U49" s="8"/>
      <c r="V49" s="8"/>
      <c r="W49" s="8"/>
      <c r="X49" s="8"/>
      <c r="Y49" s="8"/>
      <c r="Z49" s="8"/>
      <c r="AA49" s="8"/>
      <c r="AB49" s="8"/>
      <c r="AC49" s="8"/>
      <c r="AD49" s="8"/>
      <c r="AE49" s="8"/>
      <c r="AF49" s="8"/>
      <c r="AG49" s="8"/>
      <c r="AH49" s="8"/>
      <c r="AI49" s="8"/>
      <c r="AJ49" s="8"/>
      <c r="AK49" s="8"/>
      <c r="AL49" s="8"/>
      <c r="AM49" s="8"/>
      <c r="AN49" s="3"/>
      <c r="AO49" s="3"/>
    </row>
    <row r="50" spans="1:41" s="218" customFormat="1">
      <c r="A50" s="303" t="s">
        <v>18</v>
      </c>
      <c r="B50" s="303">
        <f>K17</f>
        <v>100</v>
      </c>
      <c r="C50" s="314">
        <f>V17</f>
        <v>14165649</v>
      </c>
      <c r="D50" s="314">
        <f>B50*C50/100</f>
        <v>14165649</v>
      </c>
      <c r="E50" s="314">
        <f>W17</f>
        <v>0</v>
      </c>
      <c r="F50" s="314">
        <f>B50*E50/100</f>
        <v>0</v>
      </c>
      <c r="G50" s="314">
        <f>X17</f>
        <v>0</v>
      </c>
      <c r="H50" s="314">
        <f>B50*G50/100</f>
        <v>0</v>
      </c>
      <c r="I50" s="304"/>
      <c r="J50" s="314">
        <f>Y17</f>
        <v>0</v>
      </c>
      <c r="K50" s="314">
        <f>B50*J50/100</f>
        <v>0</v>
      </c>
      <c r="Q50" s="7"/>
      <c r="R50" s="3"/>
      <c r="S50" s="8"/>
      <c r="T50" s="8"/>
      <c r="U50" s="8"/>
      <c r="V50" s="8"/>
      <c r="W50" s="8"/>
      <c r="X50" s="8"/>
      <c r="Y50" s="8"/>
      <c r="Z50" s="8"/>
      <c r="AA50" s="8"/>
      <c r="AB50" s="8"/>
      <c r="AC50" s="8"/>
      <c r="AD50" s="8"/>
      <c r="AE50" s="8"/>
      <c r="AF50" s="8"/>
      <c r="AG50" s="8"/>
      <c r="AH50" s="8"/>
      <c r="AI50" s="8"/>
      <c r="AJ50" s="8"/>
      <c r="AK50" s="8"/>
      <c r="AL50" s="8"/>
      <c r="AM50" s="8"/>
      <c r="AN50" s="3"/>
      <c r="AO50" s="3"/>
    </row>
    <row r="51" spans="1:41" s="218" customFormat="1">
      <c r="A51" s="7"/>
      <c r="B51" s="7"/>
      <c r="C51" s="7"/>
      <c r="D51" s="7"/>
      <c r="E51" s="7"/>
      <c r="F51" s="7"/>
      <c r="G51" s="7"/>
      <c r="H51" s="7"/>
      <c r="I51" s="306"/>
      <c r="J51" s="7"/>
      <c r="K51" s="3"/>
      <c r="Q51" s="7"/>
      <c r="R51" s="3"/>
      <c r="S51" s="8"/>
      <c r="T51" s="8"/>
      <c r="U51" s="8"/>
      <c r="V51" s="8"/>
      <c r="W51" s="8"/>
      <c r="X51" s="8"/>
      <c r="Y51" s="8"/>
      <c r="Z51" s="8"/>
      <c r="AA51" s="8"/>
      <c r="AB51" s="8"/>
      <c r="AC51" s="8"/>
      <c r="AD51" s="8"/>
      <c r="AE51" s="8"/>
      <c r="AF51" s="8"/>
      <c r="AG51" s="8"/>
      <c r="AH51" s="8"/>
      <c r="AI51" s="8"/>
      <c r="AJ51" s="8"/>
      <c r="AK51" s="8"/>
      <c r="AL51" s="8"/>
      <c r="AM51" s="8"/>
      <c r="AN51" s="3"/>
      <c r="AO51" s="3"/>
    </row>
    <row r="52" spans="1:41" s="218" customFormat="1" ht="15" customHeight="1">
      <c r="A52" s="945" t="s">
        <v>604</v>
      </c>
      <c r="B52" s="946"/>
      <c r="C52" s="946"/>
      <c r="D52" s="946"/>
      <c r="E52" s="946"/>
      <c r="F52" s="946"/>
      <c r="G52" s="946"/>
      <c r="H52" s="946"/>
      <c r="I52" s="946"/>
      <c r="J52" s="947"/>
      <c r="K52" s="3"/>
      <c r="Q52" s="7"/>
      <c r="R52" s="3"/>
      <c r="S52" s="8"/>
      <c r="T52" s="8"/>
      <c r="U52" s="8"/>
      <c r="V52" s="8"/>
      <c r="W52" s="8"/>
      <c r="X52" s="8"/>
      <c r="Y52" s="8"/>
      <c r="Z52" s="8"/>
      <c r="AA52" s="8"/>
      <c r="AB52" s="8"/>
      <c r="AC52" s="8"/>
      <c r="AD52" s="8"/>
      <c r="AE52" s="8"/>
      <c r="AF52" s="8"/>
      <c r="AG52" s="8"/>
      <c r="AH52" s="8"/>
      <c r="AI52" s="8"/>
      <c r="AJ52" s="8"/>
      <c r="AK52" s="8"/>
      <c r="AL52" s="8"/>
      <c r="AM52" s="8"/>
      <c r="AN52" s="3"/>
      <c r="AO52" s="3"/>
    </row>
    <row r="53" spans="1:41" s="218" customFormat="1" ht="45">
      <c r="A53" s="316" t="s">
        <v>593</v>
      </c>
      <c r="B53" s="316" t="s">
        <v>594</v>
      </c>
      <c r="C53" s="316" t="s">
        <v>589</v>
      </c>
      <c r="D53" s="316" t="s">
        <v>595</v>
      </c>
      <c r="E53" s="316" t="s">
        <v>589</v>
      </c>
      <c r="F53" s="316" t="s">
        <v>596</v>
      </c>
      <c r="G53" s="316" t="s">
        <v>589</v>
      </c>
      <c r="H53" s="316" t="s">
        <v>597</v>
      </c>
      <c r="I53" s="317"/>
      <c r="J53" s="316" t="s">
        <v>589</v>
      </c>
      <c r="K53" s="3"/>
      <c r="Q53" s="7"/>
      <c r="R53" s="3"/>
      <c r="S53" s="8"/>
      <c r="T53" s="8"/>
      <c r="U53" s="8"/>
      <c r="V53" s="8"/>
      <c r="W53" s="8"/>
      <c r="X53" s="8"/>
      <c r="Y53" s="8"/>
      <c r="Z53" s="8"/>
      <c r="AA53" s="8"/>
      <c r="AB53" s="8"/>
      <c r="AC53" s="8"/>
      <c r="AD53" s="8"/>
      <c r="AE53" s="8"/>
      <c r="AF53" s="8"/>
      <c r="AG53" s="8"/>
      <c r="AH53" s="8"/>
      <c r="AI53" s="8"/>
      <c r="AJ53" s="8"/>
      <c r="AK53" s="8"/>
      <c r="AL53" s="8"/>
      <c r="AM53" s="8"/>
      <c r="AN53" s="3"/>
      <c r="AO53" s="3"/>
    </row>
    <row r="54" spans="1:41" s="218" customFormat="1" ht="15">
      <c r="A54" s="321">
        <f>U16</f>
        <v>180682454.74368</v>
      </c>
      <c r="B54" s="321">
        <f>Z16</f>
        <v>19478824</v>
      </c>
      <c r="C54" s="363">
        <f>A54*B54/100</f>
        <v>35194817358401.078</v>
      </c>
      <c r="D54" s="321">
        <f>AA16</f>
        <v>15593223</v>
      </c>
      <c r="E54" s="364">
        <f>A54*D54/100</f>
        <v>28174218090056.102</v>
      </c>
      <c r="F54" s="321">
        <f>AB16</f>
        <v>0</v>
      </c>
      <c r="G54" s="364">
        <f>A54*F54/100</f>
        <v>0</v>
      </c>
      <c r="H54" s="321">
        <f>AC16</f>
        <v>0</v>
      </c>
      <c r="I54" s="322"/>
      <c r="J54" s="364">
        <f>A54*H54/100</f>
        <v>0</v>
      </c>
      <c r="K54" s="3"/>
      <c r="Q54" s="7"/>
      <c r="R54" s="3"/>
      <c r="S54" s="8"/>
      <c r="T54" s="8"/>
      <c r="U54" s="8"/>
      <c r="V54" s="8"/>
      <c r="W54" s="8"/>
      <c r="X54" s="8"/>
      <c r="Y54" s="8"/>
      <c r="Z54" s="8"/>
      <c r="AA54" s="8"/>
      <c r="AB54" s="8"/>
      <c r="AC54" s="8"/>
      <c r="AD54" s="8"/>
      <c r="AE54" s="8"/>
      <c r="AF54" s="8"/>
      <c r="AG54" s="8"/>
      <c r="AH54" s="8"/>
      <c r="AI54" s="8"/>
      <c r="AJ54" s="8"/>
      <c r="AK54" s="8"/>
      <c r="AL54" s="8"/>
      <c r="AM54" s="8"/>
      <c r="AN54" s="3"/>
      <c r="AO54" s="3"/>
    </row>
    <row r="55" spans="1:41" s="218" customFormat="1">
      <c r="A55" s="303"/>
      <c r="B55" s="303"/>
      <c r="C55" s="303"/>
      <c r="D55" s="303"/>
      <c r="E55" s="303"/>
      <c r="F55" s="303"/>
      <c r="G55" s="303"/>
      <c r="H55" s="303"/>
      <c r="I55" s="304"/>
      <c r="J55" s="303"/>
      <c r="K55" s="3"/>
      <c r="Q55" s="7"/>
      <c r="R55" s="3"/>
      <c r="S55" s="8"/>
      <c r="T55" s="8"/>
      <c r="U55" s="8"/>
      <c r="V55" s="8"/>
      <c r="W55" s="8"/>
      <c r="X55" s="8"/>
      <c r="Y55" s="8"/>
      <c r="Z55" s="8"/>
      <c r="AA55" s="8"/>
      <c r="AB55" s="8"/>
      <c r="AC55" s="8"/>
      <c r="AD55" s="8"/>
      <c r="AE55" s="8"/>
      <c r="AF55" s="8"/>
      <c r="AG55" s="8"/>
      <c r="AH55" s="8"/>
      <c r="AI55" s="8"/>
      <c r="AJ55" s="8"/>
      <c r="AK55" s="8"/>
      <c r="AL55" s="8"/>
      <c r="AM55" s="8"/>
      <c r="AN55" s="3"/>
      <c r="AO55" s="3"/>
    </row>
    <row r="56" spans="1:41" s="218" customFormat="1">
      <c r="A56" s="3"/>
      <c r="B56" s="3"/>
      <c r="C56" s="3"/>
      <c r="D56" s="3"/>
      <c r="I56" s="5"/>
      <c r="J56" s="3"/>
      <c r="K56" s="3"/>
      <c r="Q56" s="7"/>
      <c r="R56" s="3"/>
      <c r="S56" s="8"/>
      <c r="T56" s="8"/>
      <c r="U56" s="8"/>
      <c r="V56" s="8"/>
      <c r="W56" s="8"/>
      <c r="X56" s="8"/>
      <c r="Y56" s="8"/>
      <c r="Z56" s="8"/>
      <c r="AA56" s="8"/>
      <c r="AB56" s="8"/>
      <c r="AC56" s="8"/>
      <c r="AD56" s="8"/>
      <c r="AE56" s="8"/>
      <c r="AF56" s="8"/>
      <c r="AG56" s="8"/>
      <c r="AH56" s="8"/>
      <c r="AI56" s="8"/>
      <c r="AJ56" s="8"/>
      <c r="AK56" s="8"/>
      <c r="AL56" s="8"/>
      <c r="AM56" s="8"/>
      <c r="AN56" s="3"/>
      <c r="AO56" s="3"/>
    </row>
    <row r="57" spans="1:41" s="218" customFormat="1">
      <c r="A57" s="3"/>
      <c r="B57" s="3"/>
      <c r="C57" s="3"/>
      <c r="D57" s="3"/>
      <c r="I57" s="5"/>
      <c r="J57" s="3"/>
      <c r="K57" s="3"/>
      <c r="Q57" s="7"/>
      <c r="R57" s="3"/>
      <c r="S57" s="8"/>
      <c r="T57" s="8"/>
      <c r="U57" s="8"/>
      <c r="V57" s="8"/>
      <c r="W57" s="8"/>
      <c r="X57" s="8"/>
      <c r="Y57" s="8"/>
      <c r="Z57" s="8"/>
      <c r="AA57" s="8"/>
      <c r="AB57" s="8"/>
      <c r="AC57" s="8"/>
      <c r="AD57" s="8"/>
      <c r="AE57" s="8"/>
      <c r="AF57" s="8"/>
      <c r="AG57" s="8"/>
      <c r="AH57" s="8"/>
      <c r="AI57" s="8"/>
      <c r="AJ57" s="8"/>
      <c r="AK57" s="8"/>
      <c r="AL57" s="8"/>
      <c r="AM57" s="8"/>
      <c r="AN57" s="3"/>
      <c r="AO57" s="3"/>
    </row>
    <row r="58" spans="1:41">
      <c r="I58" s="218"/>
      <c r="J58" s="3"/>
    </row>
    <row r="59" spans="1:41" ht="15" customHeight="1">
      <c r="A59" s="942" t="s">
        <v>605</v>
      </c>
      <c r="B59" s="943"/>
      <c r="C59" s="943"/>
      <c r="D59" s="943"/>
      <c r="E59" s="943"/>
      <c r="F59" s="943"/>
      <c r="G59" s="943"/>
      <c r="H59" s="943"/>
      <c r="I59" s="943"/>
      <c r="J59" s="943"/>
      <c r="K59" s="944"/>
    </row>
    <row r="60" spans="1:41" ht="60">
      <c r="A60" s="318" t="s">
        <v>598</v>
      </c>
      <c r="B60" s="319" t="s">
        <v>587</v>
      </c>
      <c r="C60" s="319" t="s">
        <v>588</v>
      </c>
      <c r="D60" s="319" t="s">
        <v>589</v>
      </c>
      <c r="E60" s="319" t="s">
        <v>590</v>
      </c>
      <c r="F60" s="319" t="s">
        <v>589</v>
      </c>
      <c r="G60" s="319" t="s">
        <v>591</v>
      </c>
      <c r="H60" s="319" t="s">
        <v>589</v>
      </c>
      <c r="I60" s="319"/>
      <c r="J60" s="319" t="s">
        <v>592</v>
      </c>
      <c r="K60" s="319" t="s">
        <v>589</v>
      </c>
    </row>
    <row r="61" spans="1:41">
      <c r="A61" s="303" t="s">
        <v>599</v>
      </c>
      <c r="B61" s="303">
        <f>K23</f>
        <v>1</v>
      </c>
      <c r="C61" s="311">
        <f>V23</f>
        <v>14400000</v>
      </c>
      <c r="D61" s="314">
        <f>B61*C61/100</f>
        <v>144000</v>
      </c>
      <c r="E61" s="311">
        <f>W23</f>
        <v>17500000</v>
      </c>
      <c r="F61" s="314">
        <f>B61*E61/100</f>
        <v>175000</v>
      </c>
      <c r="G61" s="311">
        <f>X23</f>
        <v>0</v>
      </c>
      <c r="H61" s="314">
        <f>B61*G61/100</f>
        <v>0</v>
      </c>
      <c r="I61" s="304"/>
      <c r="J61" s="311">
        <f>Y23</f>
        <v>0</v>
      </c>
      <c r="K61" s="314">
        <f>B61*J61/100</f>
        <v>0</v>
      </c>
    </row>
    <row r="62" spans="1:41">
      <c r="A62" s="303" t="s">
        <v>18</v>
      </c>
      <c r="B62" s="303">
        <f>K24</f>
        <v>100</v>
      </c>
      <c r="C62" s="314">
        <f t="shared" ref="C62:C63" si="18">V24</f>
        <v>203587445</v>
      </c>
      <c r="D62" s="314">
        <f t="shared" ref="D62:D63" si="19">B62*C62/100</f>
        <v>203587445</v>
      </c>
      <c r="E62" s="314">
        <f t="shared" ref="E62:E63" si="20">W24</f>
        <v>813163649</v>
      </c>
      <c r="F62" s="314">
        <f t="shared" ref="F62:F63" si="21">B62*E62/100</f>
        <v>813163649</v>
      </c>
      <c r="G62" s="314">
        <f t="shared" ref="G62:G63" si="22">X24</f>
        <v>0</v>
      </c>
      <c r="H62" s="314">
        <f t="shared" ref="H62:H63" si="23">B62*G62/100</f>
        <v>0</v>
      </c>
      <c r="I62" s="304"/>
      <c r="J62" s="314">
        <f t="shared" ref="J62:J63" si="24">Y24</f>
        <v>0</v>
      </c>
      <c r="K62" s="314">
        <f>B62*J62/100</f>
        <v>0</v>
      </c>
    </row>
    <row r="63" spans="1:41">
      <c r="A63" s="303" t="s">
        <v>86</v>
      </c>
      <c r="B63" s="303">
        <f>K25</f>
        <v>32</v>
      </c>
      <c r="C63" s="311">
        <f t="shared" si="18"/>
        <v>0</v>
      </c>
      <c r="D63" s="314">
        <f t="shared" si="19"/>
        <v>0</v>
      </c>
      <c r="E63" s="311">
        <f t="shared" si="20"/>
        <v>9639442</v>
      </c>
      <c r="F63" s="314">
        <f t="shared" si="21"/>
        <v>3084621.44</v>
      </c>
      <c r="G63" s="311">
        <f t="shared" si="22"/>
        <v>0</v>
      </c>
      <c r="H63" s="314">
        <f t="shared" si="23"/>
        <v>0</v>
      </c>
      <c r="I63" s="304"/>
      <c r="J63" s="311">
        <f t="shared" si="24"/>
        <v>0</v>
      </c>
      <c r="K63" s="314">
        <f>B63*J63/100</f>
        <v>0</v>
      </c>
    </row>
    <row r="64" spans="1:41">
      <c r="A64" s="7"/>
      <c r="B64" s="7"/>
      <c r="C64" s="7"/>
      <c r="D64" s="7"/>
      <c r="E64" s="7"/>
      <c r="F64" s="7"/>
      <c r="G64" s="7"/>
      <c r="H64" s="7"/>
      <c r="I64" s="306"/>
      <c r="J64" s="7"/>
    </row>
    <row r="65" spans="1:11" ht="15" customHeight="1">
      <c r="A65" s="945" t="s">
        <v>606</v>
      </c>
      <c r="B65" s="946"/>
      <c r="C65" s="946"/>
      <c r="D65" s="946"/>
      <c r="E65" s="946"/>
      <c r="F65" s="946"/>
      <c r="G65" s="946"/>
      <c r="H65" s="946"/>
      <c r="I65" s="946"/>
      <c r="J65" s="947"/>
    </row>
    <row r="66" spans="1:11" ht="45">
      <c r="A66" s="316" t="s">
        <v>593</v>
      </c>
      <c r="B66" s="316" t="s">
        <v>594</v>
      </c>
      <c r="C66" s="316" t="s">
        <v>589</v>
      </c>
      <c r="D66" s="316" t="s">
        <v>595</v>
      </c>
      <c r="E66" s="316" t="s">
        <v>589</v>
      </c>
      <c r="F66" s="316" t="s">
        <v>596</v>
      </c>
      <c r="G66" s="316" t="s">
        <v>589</v>
      </c>
      <c r="H66" s="316" t="s">
        <v>597</v>
      </c>
      <c r="I66" s="317"/>
      <c r="J66" s="316" t="s">
        <v>589</v>
      </c>
    </row>
    <row r="67" spans="1:11">
      <c r="A67" s="309">
        <f>U23</f>
        <v>1762218738.5</v>
      </c>
      <c r="B67" s="309">
        <f>Z23</f>
        <v>886457194</v>
      </c>
      <c r="C67" s="314">
        <f>A67*B67/100</f>
        <v>1.5621314781449298E+16</v>
      </c>
      <c r="D67" s="309">
        <f>AA23</f>
        <v>840303091</v>
      </c>
      <c r="E67" s="314">
        <f>A67*D67/100</f>
        <v>1.4807978529796708E+16</v>
      </c>
      <c r="F67" s="309">
        <f>AB23</f>
        <v>0</v>
      </c>
      <c r="G67" s="314">
        <f>A67*F67/100</f>
        <v>0</v>
      </c>
      <c r="H67" s="309">
        <f>AC23</f>
        <v>0</v>
      </c>
      <c r="I67" s="304"/>
      <c r="J67" s="314">
        <f>A67*H67/100</f>
        <v>0</v>
      </c>
    </row>
    <row r="68" spans="1:11">
      <c r="A68" s="303"/>
      <c r="B68" s="303"/>
      <c r="C68" s="303"/>
      <c r="D68" s="303"/>
      <c r="E68" s="303"/>
      <c r="F68" s="303"/>
      <c r="G68" s="303"/>
      <c r="H68" s="303"/>
      <c r="I68" s="304"/>
      <c r="J68" s="303"/>
    </row>
    <row r="69" spans="1:11">
      <c r="E69" s="2"/>
      <c r="F69" s="2"/>
      <c r="G69" s="2"/>
      <c r="H69" s="2"/>
      <c r="I69" s="5"/>
      <c r="J69" s="3"/>
    </row>
    <row r="70" spans="1:11">
      <c r="E70" s="2"/>
      <c r="F70" s="2"/>
      <c r="G70" s="2"/>
      <c r="H70" s="2"/>
      <c r="I70" s="5"/>
      <c r="J70" s="3"/>
    </row>
    <row r="71" spans="1:11">
      <c r="I71" s="218"/>
      <c r="J71" s="3"/>
    </row>
    <row r="72" spans="1:11" ht="15" customHeight="1">
      <c r="A72" s="942" t="s">
        <v>625</v>
      </c>
      <c r="B72" s="943"/>
      <c r="C72" s="943"/>
      <c r="D72" s="943"/>
      <c r="E72" s="943"/>
      <c r="F72" s="943"/>
      <c r="G72" s="943"/>
      <c r="H72" s="943"/>
      <c r="I72" s="943"/>
      <c r="J72" s="943"/>
      <c r="K72" s="944"/>
    </row>
    <row r="73" spans="1:11" ht="60">
      <c r="A73" s="318" t="s">
        <v>598</v>
      </c>
      <c r="B73" s="319" t="s">
        <v>587</v>
      </c>
      <c r="C73" s="319" t="s">
        <v>588</v>
      </c>
      <c r="D73" s="319" t="s">
        <v>589</v>
      </c>
      <c r="E73" s="319" t="s">
        <v>590</v>
      </c>
      <c r="F73" s="319" t="s">
        <v>589</v>
      </c>
      <c r="G73" s="319" t="s">
        <v>591</v>
      </c>
      <c r="H73" s="319" t="s">
        <v>589</v>
      </c>
      <c r="I73" s="319"/>
      <c r="J73" s="319" t="s">
        <v>592</v>
      </c>
      <c r="K73" s="319" t="s">
        <v>589</v>
      </c>
    </row>
    <row r="74" spans="1:11" ht="14.25" customHeight="1">
      <c r="A74" s="303" t="s">
        <v>599</v>
      </c>
      <c r="B74" s="303">
        <f>K32</f>
        <v>2</v>
      </c>
      <c r="C74" s="311">
        <f>V32</f>
        <v>0</v>
      </c>
      <c r="D74" s="314">
        <f>B74*C74/100</f>
        <v>0</v>
      </c>
      <c r="E74" s="311">
        <f>W32</f>
        <v>147148509</v>
      </c>
      <c r="F74" s="314">
        <f>B74*E74/100</f>
        <v>2942970.18</v>
      </c>
      <c r="G74" s="311">
        <f>X32</f>
        <v>0</v>
      </c>
      <c r="H74" s="314">
        <f>B74*G74/100</f>
        <v>0</v>
      </c>
      <c r="I74" s="304"/>
      <c r="J74" s="311">
        <f>Y32</f>
        <v>0</v>
      </c>
      <c r="K74" s="314">
        <f>B74*J74/100</f>
        <v>0</v>
      </c>
    </row>
    <row r="75" spans="1:11">
      <c r="A75" s="303" t="s">
        <v>18</v>
      </c>
      <c r="B75" s="303">
        <f>K33</f>
        <v>100</v>
      </c>
      <c r="C75" s="314">
        <f>V33</f>
        <v>219856003</v>
      </c>
      <c r="D75" s="314">
        <f>B75*C75/100</f>
        <v>219856003</v>
      </c>
      <c r="E75" s="314">
        <f>W33</f>
        <v>676266801</v>
      </c>
      <c r="F75" s="314">
        <f>B75*E75/100</f>
        <v>676266801</v>
      </c>
      <c r="G75" s="314">
        <f>X33</f>
        <v>0</v>
      </c>
      <c r="H75" s="314">
        <f>B75*G75/100</f>
        <v>0</v>
      </c>
      <c r="I75" s="304"/>
      <c r="J75" s="314">
        <f>Y33</f>
        <v>0</v>
      </c>
      <c r="K75" s="314">
        <f>B75*J75/100</f>
        <v>0</v>
      </c>
    </row>
    <row r="76" spans="1:11">
      <c r="A76" s="7"/>
      <c r="B76" s="7"/>
      <c r="C76" s="7"/>
      <c r="D76" s="7"/>
      <c r="E76" s="7"/>
      <c r="F76" s="7"/>
      <c r="G76" s="7"/>
      <c r="H76" s="7"/>
      <c r="I76" s="306"/>
      <c r="J76" s="7"/>
    </row>
    <row r="77" spans="1:11" ht="15" customHeight="1">
      <c r="A77" s="945" t="s">
        <v>626</v>
      </c>
      <c r="B77" s="946"/>
      <c r="C77" s="946"/>
      <c r="D77" s="946"/>
      <c r="E77" s="946"/>
      <c r="F77" s="946"/>
      <c r="G77" s="946"/>
      <c r="H77" s="946"/>
      <c r="I77" s="946"/>
      <c r="J77" s="947"/>
    </row>
    <row r="78" spans="1:11" ht="45">
      <c r="A78" s="316" t="s">
        <v>593</v>
      </c>
      <c r="B78" s="316" t="s">
        <v>594</v>
      </c>
      <c r="C78" s="316" t="s">
        <v>589</v>
      </c>
      <c r="D78" s="316" t="s">
        <v>595</v>
      </c>
      <c r="E78" s="316" t="s">
        <v>589</v>
      </c>
      <c r="F78" s="316" t="s">
        <v>596</v>
      </c>
      <c r="G78" s="316" t="s">
        <v>589</v>
      </c>
      <c r="H78" s="316" t="s">
        <v>597</v>
      </c>
      <c r="I78" s="317"/>
      <c r="J78" s="316" t="s">
        <v>589</v>
      </c>
    </row>
    <row r="79" spans="1:11">
      <c r="A79" s="309">
        <f>U32</f>
        <v>3599115337</v>
      </c>
      <c r="B79" s="309">
        <f>Z32</f>
        <v>273845134</v>
      </c>
      <c r="C79" s="314">
        <f>A79*B79/100</f>
        <v>9856002217422202</v>
      </c>
      <c r="D79" s="309">
        <f>AA32</f>
        <v>823415310</v>
      </c>
      <c r="E79" s="314">
        <f>A79*D79/100</f>
        <v>2.9635666709416096E+16</v>
      </c>
      <c r="F79" s="309">
        <f>AB32</f>
        <v>0</v>
      </c>
      <c r="G79" s="314">
        <f>A79*F79/100</f>
        <v>0</v>
      </c>
      <c r="H79" s="309">
        <f>AC32</f>
        <v>0</v>
      </c>
      <c r="I79" s="304"/>
      <c r="J79" s="314">
        <f>A79*H79/100</f>
        <v>0</v>
      </c>
    </row>
    <row r="80" spans="1:11">
      <c r="A80" s="303"/>
      <c r="B80" s="303"/>
      <c r="C80" s="303"/>
      <c r="D80" s="303"/>
      <c r="E80" s="303"/>
      <c r="F80" s="303"/>
      <c r="G80" s="303"/>
      <c r="H80" s="303"/>
      <c r="I80" s="304"/>
      <c r="J80" s="303"/>
    </row>
    <row r="81" spans="1:14">
      <c r="E81" s="2"/>
      <c r="F81" s="2"/>
      <c r="G81" s="2"/>
      <c r="H81" s="2"/>
      <c r="I81" s="5"/>
      <c r="J81" s="3"/>
    </row>
    <row r="82" spans="1:14">
      <c r="E82" s="2"/>
      <c r="F82" s="2"/>
      <c r="G82" s="2"/>
      <c r="H82" s="2"/>
      <c r="I82" s="5"/>
      <c r="J82" s="3"/>
    </row>
    <row r="83" spans="1:14" ht="15" customHeight="1">
      <c r="A83" s="942" t="s">
        <v>627</v>
      </c>
      <c r="B83" s="943"/>
      <c r="C83" s="943"/>
      <c r="D83" s="943"/>
      <c r="E83" s="943"/>
      <c r="F83" s="943"/>
      <c r="G83" s="943"/>
      <c r="H83" s="943"/>
      <c r="I83" s="943"/>
      <c r="J83" s="943"/>
      <c r="K83" s="944"/>
    </row>
    <row r="84" spans="1:14" ht="60">
      <c r="A84" s="318" t="s">
        <v>598</v>
      </c>
      <c r="B84" s="319" t="s">
        <v>587</v>
      </c>
      <c r="C84" s="319" t="s">
        <v>588</v>
      </c>
      <c r="D84" s="319" t="s">
        <v>589</v>
      </c>
      <c r="E84" s="319" t="s">
        <v>590</v>
      </c>
      <c r="F84" s="319" t="s">
        <v>589</v>
      </c>
      <c r="G84" s="319" t="s">
        <v>591</v>
      </c>
      <c r="H84" s="319" t="s">
        <v>589</v>
      </c>
      <c r="I84" s="319"/>
      <c r="J84" s="319" t="s">
        <v>592</v>
      </c>
      <c r="K84" s="319" t="s">
        <v>589</v>
      </c>
    </row>
    <row r="85" spans="1:14">
      <c r="A85" s="303" t="s">
        <v>599</v>
      </c>
      <c r="B85" s="303">
        <f>B74+B61+B49+B39</f>
        <v>6</v>
      </c>
      <c r="C85" s="311">
        <f>C74+C61+C49+C39</f>
        <v>28565648</v>
      </c>
      <c r="D85" s="314">
        <f>B85*C85/100</f>
        <v>1713938.88</v>
      </c>
      <c r="E85" s="303">
        <f>E74+E61+E49+E39</f>
        <v>164648509</v>
      </c>
      <c r="F85" s="314">
        <f>B85*E85/100</f>
        <v>9878910.5399999991</v>
      </c>
      <c r="G85" s="303">
        <f>G74+G61+G49+G39</f>
        <v>0</v>
      </c>
      <c r="H85" s="314">
        <f>B85*G85/100</f>
        <v>0</v>
      </c>
      <c r="I85" s="304"/>
      <c r="J85" s="303">
        <f>J74+J61+J49+J39</f>
        <v>0</v>
      </c>
      <c r="K85" s="314">
        <f>B85*J85/100</f>
        <v>0</v>
      </c>
    </row>
    <row r="86" spans="1:14" ht="14.25" customHeight="1">
      <c r="A86" s="303" t="s">
        <v>18</v>
      </c>
      <c r="B86" s="314">
        <v>1</v>
      </c>
      <c r="C86" s="312">
        <f>C75+C62+C50+C40</f>
        <v>451765745</v>
      </c>
      <c r="D86" s="314">
        <f t="shared" ref="D86:D87" si="25">B86*C86/100</f>
        <v>4517657.45</v>
      </c>
      <c r="E86" s="312">
        <f>E75+E62+E50+E40</f>
        <v>1489430450</v>
      </c>
      <c r="F86" s="314">
        <f t="shared" ref="F86:F87" si="26">B86*E86/100</f>
        <v>14894304.5</v>
      </c>
      <c r="G86" s="314">
        <f t="shared" ref="G86:G87" si="27">G75+G62+G50+G40</f>
        <v>0</v>
      </c>
      <c r="H86" s="314">
        <f t="shared" ref="H86:H87" si="28">B86*G86/100</f>
        <v>0</v>
      </c>
      <c r="I86" s="304"/>
      <c r="J86" s="314">
        <f t="shared" ref="J86:J87" si="29">J75+J62+J50+J40</f>
        <v>0</v>
      </c>
      <c r="K86" s="314">
        <f>B86*J86/100</f>
        <v>0</v>
      </c>
    </row>
    <row r="87" spans="1:14" ht="14.25" customHeight="1">
      <c r="A87" s="303" t="s">
        <v>628</v>
      </c>
      <c r="B87" s="303">
        <f>B63</f>
        <v>32</v>
      </c>
      <c r="C87" s="311">
        <f>C63</f>
        <v>0</v>
      </c>
      <c r="D87" s="314">
        <f t="shared" si="25"/>
        <v>0</v>
      </c>
      <c r="E87" s="311">
        <f>E76+E63+E51+E41</f>
        <v>9639442</v>
      </c>
      <c r="F87" s="314">
        <f t="shared" si="26"/>
        <v>3084621.44</v>
      </c>
      <c r="G87" s="303">
        <f t="shared" si="27"/>
        <v>0</v>
      </c>
      <c r="H87" s="314">
        <f t="shared" si="28"/>
        <v>0</v>
      </c>
      <c r="I87" s="304"/>
      <c r="J87" s="303">
        <f t="shared" si="29"/>
        <v>0</v>
      </c>
      <c r="K87" s="314">
        <f>B87*J87/100</f>
        <v>0</v>
      </c>
    </row>
    <row r="88" spans="1:14">
      <c r="A88" s="7"/>
      <c r="B88" s="7"/>
      <c r="C88" s="7"/>
      <c r="D88" s="7"/>
      <c r="E88" s="7"/>
      <c r="F88" s="7"/>
      <c r="G88" s="7"/>
      <c r="H88" s="7"/>
      <c r="I88" s="306"/>
      <c r="J88" s="7"/>
    </row>
    <row r="89" spans="1:14" ht="15" customHeight="1">
      <c r="A89" s="945" t="s">
        <v>629</v>
      </c>
      <c r="B89" s="946"/>
      <c r="C89" s="946"/>
      <c r="D89" s="946"/>
      <c r="E89" s="946"/>
      <c r="F89" s="946"/>
      <c r="G89" s="946"/>
      <c r="H89" s="946"/>
      <c r="I89" s="946"/>
      <c r="J89" s="947"/>
    </row>
    <row r="90" spans="1:14" ht="45">
      <c r="A90" s="316" t="s">
        <v>593</v>
      </c>
      <c r="B90" s="316" t="s">
        <v>594</v>
      </c>
      <c r="C90" s="316" t="s">
        <v>589</v>
      </c>
      <c r="D90" s="316" t="s">
        <v>595</v>
      </c>
      <c r="E90" s="316" t="s">
        <v>589</v>
      </c>
      <c r="F90" s="316" t="s">
        <v>596</v>
      </c>
      <c r="G90" s="316" t="s">
        <v>589</v>
      </c>
      <c r="H90" s="316" t="s">
        <v>597</v>
      </c>
      <c r="I90" s="317"/>
      <c r="J90" s="316" t="s">
        <v>589</v>
      </c>
    </row>
    <row r="91" spans="1:14">
      <c r="A91" s="309">
        <f>A79+A67+A54+A44</f>
        <v>5632357757.6155205</v>
      </c>
      <c r="B91" s="309">
        <f>B79+B67+B54+B44</f>
        <v>1199259976</v>
      </c>
      <c r="C91" s="314">
        <f>A91*B91/100</f>
        <v>6.7546612292214024E+16</v>
      </c>
      <c r="D91" s="309">
        <f>D79+D67+D54+D44</f>
        <v>1687108234</v>
      </c>
      <c r="E91" s="314">
        <f>A91*D91/100</f>
        <v>9.50239714970692E+16</v>
      </c>
      <c r="F91" s="309">
        <f>F79+F67+F54+F44</f>
        <v>0</v>
      </c>
      <c r="G91" s="314">
        <f>A91*F91/100</f>
        <v>0</v>
      </c>
      <c r="H91" s="309">
        <f>H79+H67+H54+H44</f>
        <v>0</v>
      </c>
      <c r="I91" s="304"/>
      <c r="J91" s="314">
        <f>A91*H91/100</f>
        <v>0</v>
      </c>
    </row>
    <row r="92" spans="1:14">
      <c r="A92" s="303"/>
      <c r="B92" s="303"/>
      <c r="C92" s="303"/>
      <c r="D92" s="303"/>
      <c r="E92" s="303"/>
      <c r="F92" s="303"/>
      <c r="G92" s="303"/>
      <c r="H92" s="303"/>
      <c r="I92" s="304"/>
      <c r="J92" s="303"/>
    </row>
    <row r="93" spans="1:14">
      <c r="J93" s="2"/>
      <c r="K93" s="2"/>
      <c r="L93" s="2"/>
      <c r="M93" s="2"/>
      <c r="N93" s="5"/>
    </row>
  </sheetData>
  <mergeCells count="107">
    <mergeCell ref="A32:J33"/>
    <mergeCell ref="E8:E10"/>
    <mergeCell ref="F8:F10"/>
    <mergeCell ref="G8:G10"/>
    <mergeCell ref="H8:H10"/>
    <mergeCell ref="A11:H12"/>
    <mergeCell ref="A16:J17"/>
    <mergeCell ref="G26:G31"/>
    <mergeCell ref="A23:J25"/>
    <mergeCell ref="A13:A15"/>
    <mergeCell ref="B13:B15"/>
    <mergeCell ref="C13:C15"/>
    <mergeCell ref="D13:D15"/>
    <mergeCell ref="E13:E15"/>
    <mergeCell ref="F13:F15"/>
    <mergeCell ref="G13:G15"/>
    <mergeCell ref="Z11:Z12"/>
    <mergeCell ref="AA11:AA12"/>
    <mergeCell ref="AE23:AE25"/>
    <mergeCell ref="AD11:AD12"/>
    <mergeCell ref="AE11:AE12"/>
    <mergeCell ref="S16:S17"/>
    <mergeCell ref="U16:U17"/>
    <mergeCell ref="Z16:Z17"/>
    <mergeCell ref="AA16:AA17"/>
    <mergeCell ref="AB16:AB17"/>
    <mergeCell ref="AC16:AC17"/>
    <mergeCell ref="AD16:AD17"/>
    <mergeCell ref="AE16:AE17"/>
    <mergeCell ref="S11:S12"/>
    <mergeCell ref="U11:U12"/>
    <mergeCell ref="S23:S25"/>
    <mergeCell ref="U23:U25"/>
    <mergeCell ref="Z23:Z25"/>
    <mergeCell ref="AB23:AB25"/>
    <mergeCell ref="AC23:AC25"/>
    <mergeCell ref="AD23:AD25"/>
    <mergeCell ref="AB11:AB12"/>
    <mergeCell ref="AC11:AC12"/>
    <mergeCell ref="A4:AO4"/>
    <mergeCell ref="B3:AO3"/>
    <mergeCell ref="A8:A10"/>
    <mergeCell ref="B8:B10"/>
    <mergeCell ref="C8:C10"/>
    <mergeCell ref="D8:D10"/>
    <mergeCell ref="Q9:Q10"/>
    <mergeCell ref="R9:R10"/>
    <mergeCell ref="S9:S10"/>
    <mergeCell ref="U9:U10"/>
    <mergeCell ref="P6:P7"/>
    <mergeCell ref="Q6:U6"/>
    <mergeCell ref="V6:AB6"/>
    <mergeCell ref="V9:V10"/>
    <mergeCell ref="W9:W10"/>
    <mergeCell ref="AA9:AA10"/>
    <mergeCell ref="AP18:AP22"/>
    <mergeCell ref="C20:C22"/>
    <mergeCell ref="D20:D22"/>
    <mergeCell ref="E20:E22"/>
    <mergeCell ref="F20:F22"/>
    <mergeCell ref="AP26:AP31"/>
    <mergeCell ref="A26:A31"/>
    <mergeCell ref="B26:B31"/>
    <mergeCell ref="C26:C30"/>
    <mergeCell ref="D26:D30"/>
    <mergeCell ref="E26:E30"/>
    <mergeCell ref="F26:F30"/>
    <mergeCell ref="AA23:AA25"/>
    <mergeCell ref="B18:B22"/>
    <mergeCell ref="C18:C19"/>
    <mergeCell ref="D18:D19"/>
    <mergeCell ref="E18:E19"/>
    <mergeCell ref="F18:F19"/>
    <mergeCell ref="G18:G22"/>
    <mergeCell ref="A37:K37"/>
    <mergeCell ref="A1:AO1"/>
    <mergeCell ref="AQ1:AU1"/>
    <mergeCell ref="A2:AO2"/>
    <mergeCell ref="S32:S33"/>
    <mergeCell ref="U32:U33"/>
    <mergeCell ref="Z32:Z33"/>
    <mergeCell ref="AA32:AA33"/>
    <mergeCell ref="AB32:AB33"/>
    <mergeCell ref="AC32:AC33"/>
    <mergeCell ref="A5:AO5"/>
    <mergeCell ref="A6:B6"/>
    <mergeCell ref="C6:F6"/>
    <mergeCell ref="H6:I6"/>
    <mergeCell ref="J6:J7"/>
    <mergeCell ref="K6:K7"/>
    <mergeCell ref="L6:L7"/>
    <mergeCell ref="M6:M7"/>
    <mergeCell ref="AO6:AO7"/>
    <mergeCell ref="N6:N7"/>
    <mergeCell ref="O6:O7"/>
    <mergeCell ref="AN6:AN7"/>
    <mergeCell ref="AP13:AP15"/>
    <mergeCell ref="A18:A22"/>
    <mergeCell ref="A59:K59"/>
    <mergeCell ref="A52:J52"/>
    <mergeCell ref="A47:K47"/>
    <mergeCell ref="A42:J42"/>
    <mergeCell ref="A65:J65"/>
    <mergeCell ref="A72:K72"/>
    <mergeCell ref="A77:J77"/>
    <mergeCell ref="A83:K83"/>
    <mergeCell ref="A89:J89"/>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70499-2843-4638-AF75-2F97BD1F9424}">
  <dimension ref="A1:BI64"/>
  <sheetViews>
    <sheetView topLeftCell="A34" zoomScale="60" zoomScaleNormal="60" workbookViewId="0">
      <selection activeCell="A59" sqref="A59"/>
    </sheetView>
  </sheetViews>
  <sheetFormatPr baseColWidth="10" defaultColWidth="11.42578125" defaultRowHeight="14.25"/>
  <cols>
    <col min="1" max="1" width="31.85546875" style="3" customWidth="1"/>
    <col min="2" max="2" width="28.42578125" style="3" customWidth="1"/>
    <col min="3" max="3" width="24" style="3" customWidth="1"/>
    <col min="4" max="4" width="30.42578125" style="3" customWidth="1"/>
    <col min="5" max="5" width="24.42578125" style="3" customWidth="1"/>
    <col min="6" max="6" width="18.42578125" style="3" customWidth="1"/>
    <col min="7" max="7" width="20.28515625" style="3" customWidth="1"/>
    <col min="8" max="8" width="37.42578125" style="3" customWidth="1"/>
    <col min="9" max="9" width="15" style="3" hidden="1" customWidth="1"/>
    <col min="10" max="11" width="12.7109375" style="2" hidden="1" customWidth="1"/>
    <col min="12" max="12" width="38.42578125" style="2" hidden="1" customWidth="1"/>
    <col min="13" max="13" width="57.42578125" style="2" hidden="1" customWidth="1"/>
    <col min="14" max="14" width="38.140625" style="5" customWidth="1"/>
    <col min="15" max="16" width="15" style="3" customWidth="1"/>
    <col min="17" max="17" width="16.28515625" style="3" customWidth="1"/>
    <col min="18" max="18" width="16.7109375" style="3" customWidth="1"/>
    <col min="19" max="19" width="16.85546875" style="3" customWidth="1"/>
    <col min="20" max="20" width="18" style="3" customWidth="1"/>
    <col min="21" max="21" width="20.140625" style="7" customWidth="1"/>
    <col min="22" max="22" width="21.42578125" style="3" customWidth="1"/>
    <col min="23" max="23" width="27.7109375" style="8" customWidth="1"/>
    <col min="24" max="24" width="25.42578125" style="8" bestFit="1" customWidth="1"/>
    <col min="25" max="34" width="25.42578125" style="8" customWidth="1"/>
    <col min="35" max="37" width="34.28515625" style="8" customWidth="1"/>
    <col min="38" max="42" width="43.85546875" style="8" customWidth="1"/>
    <col min="43" max="43" width="20" style="3" customWidth="1"/>
    <col min="44" max="44" width="20.140625" style="3" customWidth="1"/>
    <col min="45" max="45" width="30.28515625" style="2" hidden="1" customWidth="1"/>
    <col min="46" max="47" width="17.42578125" style="2" customWidth="1"/>
    <col min="48" max="48" width="21.140625" style="2" customWidth="1"/>
    <col min="49" max="49" width="16.7109375" style="2" customWidth="1"/>
    <col min="50" max="50" width="20.140625" style="2" customWidth="1"/>
    <col min="51" max="16384" width="11.42578125" style="2"/>
  </cols>
  <sheetData>
    <row r="1" spans="1:50" s="218" customFormat="1" ht="30.75" customHeight="1" thickTop="1" thickBot="1">
      <c r="A1" s="807" t="s">
        <v>585</v>
      </c>
      <c r="B1" s="807"/>
      <c r="C1" s="807"/>
      <c r="D1" s="807"/>
      <c r="E1" s="807"/>
      <c r="F1" s="807"/>
      <c r="G1" s="807"/>
      <c r="H1" s="807"/>
      <c r="I1" s="807"/>
      <c r="J1" s="807"/>
      <c r="K1" s="807"/>
      <c r="L1" s="807"/>
      <c r="M1" s="807"/>
      <c r="N1" s="807"/>
      <c r="O1" s="807"/>
      <c r="P1" s="807"/>
      <c r="Q1" s="807"/>
      <c r="R1" s="807"/>
      <c r="S1" s="807"/>
      <c r="T1" s="807"/>
      <c r="U1" s="807"/>
      <c r="V1" s="807"/>
      <c r="W1" s="807"/>
      <c r="X1" s="807"/>
      <c r="Y1" s="807"/>
      <c r="Z1" s="807"/>
      <c r="AA1" s="807"/>
      <c r="AB1" s="807"/>
      <c r="AC1" s="807"/>
      <c r="AD1" s="807"/>
      <c r="AE1" s="807"/>
      <c r="AF1" s="807"/>
      <c r="AG1" s="807"/>
      <c r="AH1" s="807"/>
      <c r="AI1" s="807"/>
      <c r="AJ1" s="807"/>
      <c r="AK1" s="807"/>
      <c r="AL1" s="807"/>
      <c r="AM1" s="807"/>
      <c r="AN1" s="807"/>
      <c r="AO1" s="807"/>
      <c r="AP1" s="807"/>
      <c r="AQ1" s="807"/>
      <c r="AR1" s="807"/>
      <c r="AS1" s="24"/>
      <c r="AT1" s="790" t="s">
        <v>34</v>
      </c>
      <c r="AU1" s="790"/>
      <c r="AV1" s="790"/>
      <c r="AW1" s="790"/>
      <c r="AX1" s="791"/>
    </row>
    <row r="2" spans="1:50" s="218" customFormat="1" ht="27.95" customHeight="1" thickTop="1" thickBot="1">
      <c r="A2" s="774" t="s">
        <v>0</v>
      </c>
      <c r="B2" s="774"/>
      <c r="C2" s="774"/>
      <c r="D2" s="774"/>
      <c r="E2" s="774"/>
      <c r="F2" s="774"/>
      <c r="G2" s="774"/>
      <c r="H2" s="774"/>
      <c r="I2" s="774"/>
      <c r="J2" s="774"/>
      <c r="K2" s="774"/>
      <c r="L2" s="774"/>
      <c r="M2" s="774"/>
      <c r="N2" s="774"/>
      <c r="O2" s="774"/>
      <c r="P2" s="774"/>
      <c r="Q2" s="774"/>
      <c r="R2" s="774"/>
      <c r="S2" s="774"/>
      <c r="T2" s="774"/>
      <c r="U2" s="774"/>
      <c r="V2" s="774"/>
      <c r="W2" s="774"/>
      <c r="X2" s="774"/>
      <c r="Y2" s="774"/>
      <c r="Z2" s="774"/>
      <c r="AA2" s="774"/>
      <c r="AB2" s="774"/>
      <c r="AC2" s="774"/>
      <c r="AD2" s="774"/>
      <c r="AE2" s="774"/>
      <c r="AF2" s="774"/>
      <c r="AG2" s="774"/>
      <c r="AH2" s="774"/>
      <c r="AI2" s="774"/>
      <c r="AJ2" s="774"/>
      <c r="AK2" s="774"/>
      <c r="AL2" s="774"/>
      <c r="AM2" s="774"/>
      <c r="AN2" s="774"/>
      <c r="AO2" s="774"/>
      <c r="AP2" s="774"/>
      <c r="AQ2" s="774"/>
      <c r="AR2" s="774"/>
      <c r="AS2" s="24"/>
      <c r="AT2" s="294" t="s">
        <v>35</v>
      </c>
      <c r="AU2" s="22" t="s">
        <v>36</v>
      </c>
      <c r="AV2" s="18" t="s">
        <v>37</v>
      </c>
      <c r="AW2" s="18" t="s">
        <v>38</v>
      </c>
      <c r="AX2" s="18" t="s">
        <v>29</v>
      </c>
    </row>
    <row r="3" spans="1:50" s="218" customFormat="1" ht="25.5" customHeight="1" thickTop="1" thickBot="1">
      <c r="B3" s="920" t="s">
        <v>613</v>
      </c>
      <c r="C3" s="921"/>
      <c r="D3" s="921"/>
      <c r="E3" s="921"/>
      <c r="F3" s="921"/>
      <c r="G3" s="921"/>
      <c r="H3" s="921"/>
      <c r="I3" s="921"/>
      <c r="J3" s="921"/>
      <c r="K3" s="921"/>
      <c r="L3" s="921"/>
      <c r="M3" s="921"/>
      <c r="N3" s="921"/>
      <c r="O3" s="921"/>
      <c r="P3" s="921"/>
      <c r="Q3" s="921"/>
      <c r="R3" s="921"/>
      <c r="S3" s="921"/>
      <c r="T3" s="921"/>
      <c r="U3" s="921"/>
      <c r="V3" s="921"/>
      <c r="W3" s="921"/>
      <c r="X3" s="921"/>
      <c r="Y3" s="921"/>
      <c r="Z3" s="921"/>
      <c r="AA3" s="921"/>
      <c r="AB3" s="921"/>
      <c r="AC3" s="921"/>
      <c r="AD3" s="921"/>
      <c r="AE3" s="921"/>
      <c r="AF3" s="921"/>
      <c r="AG3" s="921"/>
      <c r="AH3" s="921"/>
      <c r="AI3" s="921"/>
      <c r="AJ3" s="921"/>
      <c r="AK3" s="921"/>
      <c r="AL3" s="921"/>
      <c r="AM3" s="921"/>
      <c r="AN3" s="921"/>
      <c r="AO3" s="921"/>
      <c r="AP3" s="921"/>
      <c r="AQ3" s="921"/>
      <c r="AR3" s="922"/>
      <c r="AS3" s="25"/>
      <c r="AT3" s="30"/>
      <c r="AU3" s="23"/>
      <c r="AV3" s="19"/>
      <c r="AW3" s="20"/>
      <c r="AX3" s="21"/>
    </row>
    <row r="4" spans="1:50" s="218" customFormat="1" ht="27.95" customHeight="1" thickTop="1" thickBot="1">
      <c r="A4" s="923" t="s">
        <v>614</v>
      </c>
      <c r="B4" s="924"/>
      <c r="C4" s="924"/>
      <c r="D4" s="924"/>
      <c r="E4" s="924"/>
      <c r="F4" s="924"/>
      <c r="G4" s="924"/>
      <c r="H4" s="924"/>
      <c r="I4" s="924"/>
      <c r="J4" s="924"/>
      <c r="K4" s="924"/>
      <c r="L4" s="924"/>
      <c r="M4" s="924"/>
      <c r="N4" s="924"/>
      <c r="O4" s="924"/>
      <c r="P4" s="924"/>
      <c r="Q4" s="924"/>
      <c r="R4" s="924"/>
      <c r="S4" s="924"/>
      <c r="T4" s="924"/>
      <c r="U4" s="924"/>
      <c r="V4" s="924"/>
      <c r="W4" s="924"/>
      <c r="X4" s="924"/>
      <c r="Y4" s="924"/>
      <c r="Z4" s="924"/>
      <c r="AA4" s="924"/>
      <c r="AB4" s="924"/>
      <c r="AC4" s="924"/>
      <c r="AD4" s="924"/>
      <c r="AE4" s="924"/>
      <c r="AF4" s="924"/>
      <c r="AG4" s="924"/>
      <c r="AH4" s="924"/>
      <c r="AI4" s="924"/>
      <c r="AJ4" s="924"/>
      <c r="AK4" s="924"/>
      <c r="AL4" s="924"/>
      <c r="AM4" s="924"/>
      <c r="AN4" s="924"/>
      <c r="AO4" s="924"/>
      <c r="AP4" s="924"/>
      <c r="AQ4" s="924"/>
      <c r="AR4" s="925"/>
      <c r="AS4" s="25"/>
      <c r="AT4" s="30"/>
      <c r="AU4" s="23"/>
      <c r="AV4" s="19"/>
      <c r="AW4" s="20"/>
      <c r="AX4" s="21"/>
    </row>
    <row r="5" spans="1:50" s="218" customFormat="1" ht="27.95" customHeight="1" thickTop="1" thickBot="1">
      <c r="A5" s="792"/>
      <c r="B5" s="792"/>
      <c r="C5" s="792"/>
      <c r="D5" s="792"/>
      <c r="E5" s="792"/>
      <c r="F5" s="792"/>
      <c r="G5" s="792"/>
      <c r="H5" s="792"/>
      <c r="I5" s="792"/>
      <c r="J5" s="792"/>
      <c r="K5" s="792"/>
      <c r="L5" s="792"/>
      <c r="M5" s="792"/>
      <c r="N5" s="792"/>
      <c r="O5" s="792"/>
      <c r="P5" s="792"/>
      <c r="Q5" s="792"/>
      <c r="R5" s="792"/>
      <c r="S5" s="792"/>
      <c r="T5" s="792"/>
      <c r="U5" s="792"/>
      <c r="V5" s="792"/>
      <c r="W5" s="792"/>
      <c r="X5" s="792"/>
      <c r="Y5" s="792"/>
      <c r="Z5" s="792"/>
      <c r="AA5" s="792"/>
      <c r="AB5" s="792"/>
      <c r="AC5" s="792"/>
      <c r="AD5" s="792"/>
      <c r="AE5" s="792"/>
      <c r="AF5" s="792"/>
      <c r="AG5" s="792"/>
      <c r="AH5" s="792"/>
      <c r="AI5" s="792"/>
      <c r="AJ5" s="792"/>
      <c r="AK5" s="792"/>
      <c r="AL5" s="792"/>
      <c r="AM5" s="792"/>
      <c r="AN5" s="792"/>
      <c r="AO5" s="792"/>
      <c r="AP5" s="792"/>
      <c r="AQ5" s="792"/>
      <c r="AR5" s="792"/>
      <c r="AS5" s="165"/>
      <c r="AT5" s="30"/>
      <c r="AU5" s="23"/>
      <c r="AV5" s="19"/>
      <c r="AW5" s="20"/>
      <c r="AX5" s="21"/>
    </row>
    <row r="6" spans="1:50" ht="27.95" customHeight="1" thickBot="1">
      <c r="A6" s="794"/>
      <c r="B6" s="795"/>
      <c r="C6" s="796" t="s">
        <v>45</v>
      </c>
      <c r="D6" s="794"/>
      <c r="E6" s="794"/>
      <c r="F6" s="795"/>
      <c r="G6" s="31"/>
      <c r="H6" s="759" t="s">
        <v>311</v>
      </c>
      <c r="I6" s="759"/>
      <c r="J6" s="759"/>
      <c r="K6" s="759"/>
      <c r="L6" s="793" t="s">
        <v>44</v>
      </c>
      <c r="M6" s="793" t="s">
        <v>10</v>
      </c>
      <c r="N6" s="918" t="s">
        <v>1</v>
      </c>
      <c r="O6" s="763" t="s">
        <v>48</v>
      </c>
      <c r="P6" s="763" t="s">
        <v>2</v>
      </c>
      <c r="Q6" s="763" t="s">
        <v>3</v>
      </c>
      <c r="R6" s="763" t="s">
        <v>4</v>
      </c>
      <c r="S6" s="763" t="s">
        <v>5</v>
      </c>
      <c r="T6" s="763" t="s">
        <v>6</v>
      </c>
      <c r="U6" s="762" t="s">
        <v>7</v>
      </c>
      <c r="V6" s="762"/>
      <c r="W6" s="762"/>
      <c r="X6" s="762"/>
      <c r="Y6" s="804" t="s">
        <v>564</v>
      </c>
      <c r="Z6" s="805"/>
      <c r="AA6" s="805"/>
      <c r="AB6" s="805"/>
      <c r="AC6" s="805"/>
      <c r="AD6" s="805"/>
      <c r="AE6" s="806"/>
      <c r="AF6" s="289"/>
      <c r="AG6" s="289"/>
      <c r="AH6" s="289"/>
      <c r="AI6" s="289"/>
      <c r="AJ6" s="289"/>
      <c r="AK6" s="289"/>
      <c r="AL6" s="289"/>
      <c r="AM6" s="289"/>
      <c r="AN6" s="289"/>
      <c r="AO6" s="289"/>
      <c r="AP6" s="289"/>
      <c r="AQ6" s="763" t="s">
        <v>8</v>
      </c>
      <c r="AR6" s="755" t="s">
        <v>9</v>
      </c>
      <c r="AS6" s="166"/>
      <c r="AT6" s="22" t="s">
        <v>39</v>
      </c>
      <c r="AU6" s="17" t="s">
        <v>30</v>
      </c>
      <c r="AV6" s="18" t="s">
        <v>31</v>
      </c>
      <c r="AW6" s="18" t="s">
        <v>32</v>
      </c>
      <c r="AX6" s="18" t="s">
        <v>33</v>
      </c>
    </row>
    <row r="7" spans="1:50" ht="68.25" customHeight="1" thickTop="1" thickBot="1">
      <c r="A7" s="270" t="s">
        <v>42</v>
      </c>
      <c r="B7" s="270" t="s">
        <v>43</v>
      </c>
      <c r="C7" s="270" t="s">
        <v>11</v>
      </c>
      <c r="D7" s="270" t="s">
        <v>52</v>
      </c>
      <c r="E7" s="270" t="s">
        <v>12</v>
      </c>
      <c r="F7" s="270" t="s">
        <v>47</v>
      </c>
      <c r="G7" s="270" t="s">
        <v>41</v>
      </c>
      <c r="H7" s="32" t="s">
        <v>46</v>
      </c>
      <c r="I7" s="270" t="s">
        <v>52</v>
      </c>
      <c r="J7" s="270" t="s">
        <v>12</v>
      </c>
      <c r="K7" s="270" t="s">
        <v>47</v>
      </c>
      <c r="L7" s="793"/>
      <c r="M7" s="793"/>
      <c r="N7" s="919"/>
      <c r="O7" s="764"/>
      <c r="P7" s="764"/>
      <c r="Q7" s="764"/>
      <c r="R7" s="764"/>
      <c r="S7" s="764"/>
      <c r="T7" s="764"/>
      <c r="U7" s="270" t="s">
        <v>13</v>
      </c>
      <c r="V7" s="270" t="s">
        <v>14</v>
      </c>
      <c r="W7" s="4" t="s">
        <v>15</v>
      </c>
      <c r="X7" s="4" t="s">
        <v>16</v>
      </c>
      <c r="Y7" s="4" t="s">
        <v>565</v>
      </c>
      <c r="Z7" s="4" t="s">
        <v>566</v>
      </c>
      <c r="AA7" s="4" t="s">
        <v>567</v>
      </c>
      <c r="AB7" s="4" t="s">
        <v>568</v>
      </c>
      <c r="AC7" s="4" t="s">
        <v>569</v>
      </c>
      <c r="AD7" s="4" t="s">
        <v>570</v>
      </c>
      <c r="AE7" s="4" t="s">
        <v>571</v>
      </c>
      <c r="AF7" s="293" t="s">
        <v>572</v>
      </c>
      <c r="AG7" s="293" t="s">
        <v>573</v>
      </c>
      <c r="AH7" s="293" t="s">
        <v>574</v>
      </c>
      <c r="AI7" s="293" t="s">
        <v>575</v>
      </c>
      <c r="AJ7" s="293" t="s">
        <v>576</v>
      </c>
      <c r="AK7" s="293" t="s">
        <v>577</v>
      </c>
      <c r="AL7" s="293" t="s">
        <v>578</v>
      </c>
      <c r="AM7" s="293" t="s">
        <v>579</v>
      </c>
      <c r="AN7" s="293" t="s">
        <v>580</v>
      </c>
      <c r="AO7" s="293" t="s">
        <v>581</v>
      </c>
      <c r="AP7" s="293" t="s">
        <v>582</v>
      </c>
      <c r="AQ7" s="764"/>
      <c r="AR7" s="756" t="s">
        <v>9</v>
      </c>
      <c r="AS7" s="166"/>
    </row>
    <row r="8" spans="1:50" s="218" customFormat="1" ht="98.25" customHeight="1" thickBot="1">
      <c r="A8" s="710" t="s">
        <v>503</v>
      </c>
      <c r="B8" s="710" t="s">
        <v>504</v>
      </c>
      <c r="C8" s="710" t="s">
        <v>505</v>
      </c>
      <c r="D8" s="710"/>
      <c r="E8" s="710"/>
      <c r="F8" s="710"/>
      <c r="G8" s="710"/>
      <c r="H8" s="838" t="s">
        <v>226</v>
      </c>
      <c r="I8" s="838" t="s">
        <v>17</v>
      </c>
      <c r="J8" s="771" t="s">
        <v>51</v>
      </c>
      <c r="K8" s="771">
        <v>1</v>
      </c>
      <c r="L8" s="772"/>
      <c r="M8" s="710" t="s">
        <v>231</v>
      </c>
      <c r="N8" s="195" t="s">
        <v>410</v>
      </c>
      <c r="O8" s="259">
        <v>6</v>
      </c>
      <c r="P8" s="259" t="s">
        <v>17</v>
      </c>
      <c r="Q8" s="189">
        <v>1</v>
      </c>
      <c r="R8" s="189">
        <v>2</v>
      </c>
      <c r="S8" s="189">
        <v>2</v>
      </c>
      <c r="T8" s="189">
        <v>1</v>
      </c>
      <c r="U8" s="253"/>
      <c r="V8" s="255"/>
      <c r="W8" s="105"/>
      <c r="X8" s="252"/>
      <c r="Y8" s="368"/>
      <c r="Z8" s="368"/>
      <c r="AA8" s="368"/>
      <c r="AB8" s="368"/>
      <c r="AC8" s="113"/>
      <c r="AD8" s="113"/>
      <c r="AE8" s="113"/>
      <c r="AF8" s="252"/>
      <c r="AG8" s="252"/>
      <c r="AH8" s="252"/>
      <c r="AI8" s="252"/>
      <c r="AJ8" s="252"/>
      <c r="AK8" s="252"/>
      <c r="AL8" s="252"/>
      <c r="AM8" s="252"/>
      <c r="AN8" s="252"/>
      <c r="AO8" s="252"/>
      <c r="AP8" s="252"/>
      <c r="AQ8" s="259" t="s">
        <v>430</v>
      </c>
      <c r="AR8" s="259" t="s">
        <v>430</v>
      </c>
      <c r="AS8" s="720"/>
    </row>
    <row r="9" spans="1:50" s="218" customFormat="1" ht="96" customHeight="1" thickBot="1">
      <c r="A9" s="710"/>
      <c r="B9" s="710"/>
      <c r="C9" s="710"/>
      <c r="D9" s="710"/>
      <c r="E9" s="710"/>
      <c r="F9" s="710"/>
      <c r="G9" s="710"/>
      <c r="H9" s="710"/>
      <c r="I9" s="710"/>
      <c r="J9" s="772"/>
      <c r="K9" s="773"/>
      <c r="L9" s="772"/>
      <c r="M9" s="710"/>
      <c r="N9" s="195" t="s">
        <v>411</v>
      </c>
      <c r="O9" s="259">
        <v>6</v>
      </c>
      <c r="P9" s="259" t="s">
        <v>17</v>
      </c>
      <c r="Q9" s="189">
        <v>1</v>
      </c>
      <c r="R9" s="189">
        <v>2</v>
      </c>
      <c r="S9" s="189">
        <v>2</v>
      </c>
      <c r="T9" s="189">
        <v>1</v>
      </c>
      <c r="U9" s="253"/>
      <c r="V9" s="255"/>
      <c r="W9" s="105"/>
      <c r="X9" s="252"/>
      <c r="Y9" s="368"/>
      <c r="Z9" s="368"/>
      <c r="AA9" s="368"/>
      <c r="AB9" s="368"/>
      <c r="AC9" s="113"/>
      <c r="AD9" s="113"/>
      <c r="AE9" s="113"/>
      <c r="AF9" s="252"/>
      <c r="AG9" s="252"/>
      <c r="AH9" s="252"/>
      <c r="AI9" s="252"/>
      <c r="AJ9" s="252"/>
      <c r="AK9" s="252"/>
      <c r="AL9" s="252"/>
      <c r="AM9" s="252"/>
      <c r="AN9" s="252"/>
      <c r="AO9" s="252"/>
      <c r="AP9" s="252"/>
      <c r="AQ9" s="259" t="s">
        <v>430</v>
      </c>
      <c r="AR9" s="259" t="s">
        <v>430</v>
      </c>
      <c r="AS9" s="720"/>
    </row>
    <row r="10" spans="1:50" s="218" customFormat="1" ht="83.25" customHeight="1" thickBot="1">
      <c r="A10" s="710"/>
      <c r="B10" s="710"/>
      <c r="C10" s="710"/>
      <c r="D10" s="710"/>
      <c r="E10" s="710"/>
      <c r="F10" s="710"/>
      <c r="G10" s="710"/>
      <c r="H10" s="711"/>
      <c r="I10" s="735"/>
      <c r="J10" s="773"/>
      <c r="K10" s="104">
        <v>1</v>
      </c>
      <c r="L10" s="772"/>
      <c r="M10" s="710"/>
      <c r="N10" s="195" t="s">
        <v>412</v>
      </c>
      <c r="O10" s="259">
        <v>6</v>
      </c>
      <c r="P10" s="259" t="s">
        <v>17</v>
      </c>
      <c r="Q10" s="189">
        <v>1</v>
      </c>
      <c r="R10" s="189">
        <v>2</v>
      </c>
      <c r="S10" s="189">
        <v>2</v>
      </c>
      <c r="T10" s="189">
        <v>1</v>
      </c>
      <c r="U10" s="253"/>
      <c r="V10" s="255"/>
      <c r="W10" s="105"/>
      <c r="X10" s="252"/>
      <c r="Y10" s="368"/>
      <c r="Z10" s="368"/>
      <c r="AA10" s="368"/>
      <c r="AB10" s="368"/>
      <c r="AC10" s="113"/>
      <c r="AD10" s="113"/>
      <c r="AE10" s="113"/>
      <c r="AF10" s="252"/>
      <c r="AG10" s="252"/>
      <c r="AH10" s="252"/>
      <c r="AI10" s="252"/>
      <c r="AJ10" s="252"/>
      <c r="AK10" s="252"/>
      <c r="AL10" s="252"/>
      <c r="AM10" s="252"/>
      <c r="AN10" s="252"/>
      <c r="AO10" s="252"/>
      <c r="AP10" s="252"/>
      <c r="AQ10" s="259" t="s">
        <v>430</v>
      </c>
      <c r="AR10" s="259" t="s">
        <v>430</v>
      </c>
      <c r="AS10" s="720"/>
    </row>
    <row r="11" spans="1:50" s="218" customFormat="1" ht="100.5" customHeight="1" thickBot="1">
      <c r="A11" s="710"/>
      <c r="B11" s="710"/>
      <c r="C11" s="710"/>
      <c r="D11" s="710"/>
      <c r="E11" s="710"/>
      <c r="F11" s="710"/>
      <c r="G11" s="710"/>
      <c r="H11" s="709" t="s">
        <v>227</v>
      </c>
      <c r="I11" s="838" t="s">
        <v>17</v>
      </c>
      <c r="J11" s="771" t="s">
        <v>51</v>
      </c>
      <c r="K11" s="722">
        <v>1</v>
      </c>
      <c r="L11" s="772"/>
      <c r="M11" s="710"/>
      <c r="N11" s="109" t="s">
        <v>413</v>
      </c>
      <c r="O11" s="259">
        <v>8</v>
      </c>
      <c r="P11" s="259" t="s">
        <v>17</v>
      </c>
      <c r="Q11" s="188">
        <v>2</v>
      </c>
      <c r="R11" s="188">
        <v>2</v>
      </c>
      <c r="S11" s="188">
        <v>2</v>
      </c>
      <c r="T11" s="188">
        <v>2</v>
      </c>
      <c r="U11" s="111" t="s">
        <v>386</v>
      </c>
      <c r="V11" s="112"/>
      <c r="W11" s="105">
        <f>18900000+10961446.0788</f>
        <v>29861446.0788</v>
      </c>
      <c r="X11" s="113">
        <f>W11</f>
        <v>29861446.0788</v>
      </c>
      <c r="Y11" s="368"/>
      <c r="Z11" s="368"/>
      <c r="AA11" s="368"/>
      <c r="AB11" s="368"/>
      <c r="AC11" s="429">
        <v>9649218</v>
      </c>
      <c r="AD11" s="113">
        <v>9649218</v>
      </c>
      <c r="AE11" s="113"/>
      <c r="AF11" s="252"/>
      <c r="AG11" s="252"/>
      <c r="AH11" s="252"/>
      <c r="AI11" s="252"/>
      <c r="AJ11" s="252"/>
      <c r="AK11" s="252"/>
      <c r="AL11" s="252"/>
      <c r="AM11" s="252"/>
      <c r="AN11" s="252"/>
      <c r="AO11" s="252"/>
      <c r="AP11" s="252"/>
      <c r="AQ11" s="259" t="s">
        <v>430</v>
      </c>
      <c r="AR11" s="259" t="s">
        <v>430</v>
      </c>
      <c r="AS11" s="720"/>
    </row>
    <row r="12" spans="1:50" s="218" customFormat="1" ht="100.5" customHeight="1" thickBot="1">
      <c r="A12" s="710"/>
      <c r="B12" s="710"/>
      <c r="C12" s="710"/>
      <c r="D12" s="710"/>
      <c r="E12" s="710"/>
      <c r="F12" s="710"/>
      <c r="G12" s="710"/>
      <c r="H12" s="711"/>
      <c r="I12" s="711"/>
      <c r="J12" s="723"/>
      <c r="K12" s="723"/>
      <c r="L12" s="772"/>
      <c r="M12" s="710"/>
      <c r="N12" s="109" t="s">
        <v>414</v>
      </c>
      <c r="O12" s="259">
        <v>8</v>
      </c>
      <c r="P12" s="259" t="s">
        <v>17</v>
      </c>
      <c r="Q12" s="188">
        <v>2</v>
      </c>
      <c r="R12" s="188">
        <v>2</v>
      </c>
      <c r="S12" s="188">
        <v>2</v>
      </c>
      <c r="T12" s="188">
        <v>2</v>
      </c>
      <c r="U12" s="111"/>
      <c r="V12" s="112"/>
      <c r="W12" s="105"/>
      <c r="X12" s="113"/>
      <c r="Y12" s="368"/>
      <c r="Z12" s="368"/>
      <c r="AA12" s="368"/>
      <c r="AB12" s="368"/>
      <c r="AC12" s="429"/>
      <c r="AD12" s="113"/>
      <c r="AE12" s="113"/>
      <c r="AF12" s="252"/>
      <c r="AG12" s="252"/>
      <c r="AH12" s="252"/>
      <c r="AI12" s="252"/>
      <c r="AJ12" s="252"/>
      <c r="AK12" s="252"/>
      <c r="AL12" s="252"/>
      <c r="AM12" s="252"/>
      <c r="AN12" s="252"/>
      <c r="AO12" s="252"/>
      <c r="AP12" s="252"/>
      <c r="AQ12" s="259" t="s">
        <v>430</v>
      </c>
      <c r="AR12" s="259" t="s">
        <v>430</v>
      </c>
      <c r="AS12" s="720"/>
    </row>
    <row r="13" spans="1:50" s="218" customFormat="1" ht="90" customHeight="1" thickBot="1">
      <c r="A13" s="710"/>
      <c r="B13" s="710"/>
      <c r="C13" s="711"/>
      <c r="D13" s="711"/>
      <c r="E13" s="711"/>
      <c r="F13" s="711"/>
      <c r="G13" s="710"/>
      <c r="H13" s="107" t="s">
        <v>228</v>
      </c>
      <c r="I13" s="107" t="s">
        <v>18</v>
      </c>
      <c r="J13" s="106" t="s">
        <v>51</v>
      </c>
      <c r="K13" s="106">
        <v>30</v>
      </c>
      <c r="L13" s="723"/>
      <c r="M13" s="711"/>
      <c r="N13" s="109" t="s">
        <v>415</v>
      </c>
      <c r="O13" s="188">
        <v>9</v>
      </c>
      <c r="P13" s="259" t="s">
        <v>17</v>
      </c>
      <c r="Q13" s="188">
        <v>0</v>
      </c>
      <c r="R13" s="188">
        <v>3</v>
      </c>
      <c r="S13" s="188">
        <v>3</v>
      </c>
      <c r="T13" s="188">
        <v>3</v>
      </c>
      <c r="U13" s="111" t="s">
        <v>386</v>
      </c>
      <c r="V13" s="112"/>
      <c r="W13" s="105">
        <f>31500000+10961446.0788</f>
        <v>42461446.0788</v>
      </c>
      <c r="X13" s="113">
        <f>W13</f>
        <v>42461446.0788</v>
      </c>
      <c r="Y13" s="368"/>
      <c r="Z13" s="368"/>
      <c r="AA13" s="368"/>
      <c r="AB13" s="368"/>
      <c r="AC13" s="429">
        <v>13399218</v>
      </c>
      <c r="AD13" s="113">
        <v>13399218</v>
      </c>
      <c r="AE13" s="113"/>
      <c r="AF13" s="252"/>
      <c r="AG13" s="252"/>
      <c r="AH13" s="252"/>
      <c r="AI13" s="252"/>
      <c r="AJ13" s="252"/>
      <c r="AK13" s="252"/>
      <c r="AL13" s="252"/>
      <c r="AM13" s="252"/>
      <c r="AN13" s="252"/>
      <c r="AO13" s="252"/>
      <c r="AP13" s="252"/>
      <c r="AQ13" s="259" t="s">
        <v>430</v>
      </c>
      <c r="AR13" s="259" t="s">
        <v>430</v>
      </c>
      <c r="AS13" s="720"/>
    </row>
    <row r="14" spans="1:50" s="218" customFormat="1" ht="87" customHeight="1" thickBot="1">
      <c r="A14" s="710"/>
      <c r="B14" s="710"/>
      <c r="C14" s="709" t="s">
        <v>225</v>
      </c>
      <c r="D14" s="709" t="s">
        <v>82</v>
      </c>
      <c r="E14" s="709" t="s">
        <v>51</v>
      </c>
      <c r="F14" s="709">
        <v>1</v>
      </c>
      <c r="G14" s="710"/>
      <c r="H14" s="107" t="s">
        <v>229</v>
      </c>
      <c r="I14" s="107" t="s">
        <v>17</v>
      </c>
      <c r="J14" s="106" t="s">
        <v>51</v>
      </c>
      <c r="K14" s="106">
        <v>1</v>
      </c>
      <c r="L14" s="722"/>
      <c r="M14" s="709" t="s">
        <v>232</v>
      </c>
      <c r="N14" s="109" t="s">
        <v>416</v>
      </c>
      <c r="O14" s="188">
        <v>6</v>
      </c>
      <c r="P14" s="188" t="s">
        <v>17</v>
      </c>
      <c r="Q14" s="188">
        <v>0</v>
      </c>
      <c r="R14" s="188">
        <v>2</v>
      </c>
      <c r="S14" s="188">
        <v>2</v>
      </c>
      <c r="T14" s="188">
        <v>2</v>
      </c>
      <c r="U14" s="111" t="s">
        <v>386</v>
      </c>
      <c r="V14" s="112"/>
      <c r="W14" s="105">
        <f>40320000+10961446.0788</f>
        <v>51281446.0788</v>
      </c>
      <c r="X14" s="113">
        <f>W14</f>
        <v>51281446.0788</v>
      </c>
      <c r="Y14" s="368"/>
      <c r="Z14" s="368"/>
      <c r="AA14" s="368"/>
      <c r="AB14" s="368"/>
      <c r="AC14" s="113">
        <v>0</v>
      </c>
      <c r="AD14" s="113">
        <v>0</v>
      </c>
      <c r="AE14" s="113"/>
      <c r="AF14" s="252"/>
      <c r="AG14" s="252"/>
      <c r="AH14" s="252"/>
      <c r="AI14" s="252"/>
      <c r="AJ14" s="252"/>
      <c r="AK14" s="252"/>
      <c r="AL14" s="252"/>
      <c r="AM14" s="252"/>
      <c r="AN14" s="252"/>
      <c r="AO14" s="252"/>
      <c r="AP14" s="252"/>
      <c r="AQ14" s="259" t="s">
        <v>430</v>
      </c>
      <c r="AR14" s="259" t="s">
        <v>430</v>
      </c>
      <c r="AS14" s="720"/>
    </row>
    <row r="15" spans="1:50" s="218" customFormat="1" ht="96" customHeight="1">
      <c r="A15" s="710"/>
      <c r="B15" s="710"/>
      <c r="C15" s="710"/>
      <c r="D15" s="710"/>
      <c r="E15" s="710"/>
      <c r="F15" s="710"/>
      <c r="G15" s="711"/>
      <c r="H15" s="107" t="s">
        <v>230</v>
      </c>
      <c r="I15" s="107" t="s">
        <v>17</v>
      </c>
      <c r="J15" s="106" t="s">
        <v>51</v>
      </c>
      <c r="K15" s="106">
        <v>1</v>
      </c>
      <c r="L15" s="723"/>
      <c r="M15" s="711"/>
      <c r="N15" s="109" t="s">
        <v>417</v>
      </c>
      <c r="O15" s="188">
        <v>1</v>
      </c>
      <c r="P15" s="188" t="s">
        <v>17</v>
      </c>
      <c r="Q15" s="188">
        <v>0</v>
      </c>
      <c r="R15" s="188">
        <v>0</v>
      </c>
      <c r="S15" s="188">
        <v>0</v>
      </c>
      <c r="T15" s="188">
        <v>1</v>
      </c>
      <c r="U15" s="111" t="s">
        <v>387</v>
      </c>
      <c r="V15" s="112"/>
      <c r="W15" s="105">
        <f>44100000+10961446.0788</f>
        <v>55061446.0788</v>
      </c>
      <c r="X15" s="113">
        <f>W15</f>
        <v>55061446.0788</v>
      </c>
      <c r="Y15" s="368"/>
      <c r="Z15" s="368"/>
      <c r="AA15" s="368"/>
      <c r="AB15" s="368"/>
      <c r="AC15" s="113">
        <v>10849218</v>
      </c>
      <c r="AD15" s="113">
        <v>10849218</v>
      </c>
      <c r="AE15" s="113"/>
      <c r="AF15" s="252"/>
      <c r="AG15" s="252"/>
      <c r="AH15" s="252"/>
      <c r="AI15" s="252"/>
      <c r="AJ15" s="252"/>
      <c r="AK15" s="252"/>
      <c r="AL15" s="252"/>
      <c r="AM15" s="252"/>
      <c r="AN15" s="252"/>
      <c r="AO15" s="252"/>
      <c r="AP15" s="252"/>
      <c r="AQ15" s="259" t="s">
        <v>430</v>
      </c>
      <c r="AR15" s="259" t="s">
        <v>430</v>
      </c>
      <c r="AS15" s="720"/>
    </row>
    <row r="16" spans="1:50" s="218" customFormat="1" ht="96" customHeight="1">
      <c r="A16" s="710"/>
      <c r="B16" s="710"/>
      <c r="C16" s="710"/>
      <c r="D16" s="710"/>
      <c r="E16" s="710"/>
      <c r="F16" s="710"/>
      <c r="G16" s="709" t="s">
        <v>233</v>
      </c>
      <c r="H16" s="709" t="s">
        <v>234</v>
      </c>
      <c r="I16" s="709" t="s">
        <v>17</v>
      </c>
      <c r="J16" s="722" t="s">
        <v>51</v>
      </c>
      <c r="K16" s="722">
        <v>1</v>
      </c>
      <c r="L16" s="722"/>
      <c r="M16" s="709" t="s">
        <v>235</v>
      </c>
      <c r="N16" s="109" t="s">
        <v>418</v>
      </c>
      <c r="O16" s="188">
        <v>6</v>
      </c>
      <c r="P16" s="188" t="s">
        <v>17</v>
      </c>
      <c r="Q16" s="188">
        <v>1</v>
      </c>
      <c r="R16" s="188">
        <v>2</v>
      </c>
      <c r="S16" s="188">
        <v>2</v>
      </c>
      <c r="T16" s="188">
        <v>1</v>
      </c>
      <c r="U16" s="111"/>
      <c r="V16" s="112"/>
      <c r="W16" s="252"/>
      <c r="X16" s="113"/>
      <c r="Y16" s="368"/>
      <c r="Z16" s="368"/>
      <c r="AA16" s="368"/>
      <c r="AB16" s="368"/>
      <c r="AC16" s="113"/>
      <c r="AD16" s="113"/>
      <c r="AE16" s="113"/>
      <c r="AF16" s="252"/>
      <c r="AG16" s="252"/>
      <c r="AH16" s="252"/>
      <c r="AI16" s="252"/>
      <c r="AJ16" s="252"/>
      <c r="AK16" s="252"/>
      <c r="AL16" s="252"/>
      <c r="AM16" s="252"/>
      <c r="AN16" s="252"/>
      <c r="AO16" s="252"/>
      <c r="AP16" s="252"/>
      <c r="AQ16" s="259" t="s">
        <v>430</v>
      </c>
      <c r="AR16" s="259" t="s">
        <v>430</v>
      </c>
      <c r="AS16" s="720"/>
    </row>
    <row r="17" spans="1:61" s="218" customFormat="1" ht="92.25" customHeight="1">
      <c r="A17" s="711"/>
      <c r="B17" s="711"/>
      <c r="C17" s="711"/>
      <c r="D17" s="711"/>
      <c r="E17" s="711"/>
      <c r="F17" s="711"/>
      <c r="G17" s="711"/>
      <c r="H17" s="711"/>
      <c r="I17" s="711"/>
      <c r="J17" s="723"/>
      <c r="K17" s="723"/>
      <c r="L17" s="723"/>
      <c r="M17" s="711"/>
      <c r="N17" s="109" t="s">
        <v>419</v>
      </c>
      <c r="O17" s="188">
        <v>6</v>
      </c>
      <c r="P17" s="188" t="s">
        <v>17</v>
      </c>
      <c r="Q17" s="188">
        <v>1</v>
      </c>
      <c r="R17" s="188">
        <v>2</v>
      </c>
      <c r="S17" s="188">
        <v>2</v>
      </c>
      <c r="T17" s="188">
        <v>1</v>
      </c>
      <c r="U17" s="111" t="s">
        <v>20</v>
      </c>
      <c r="V17" s="112"/>
      <c r="W17" s="113"/>
      <c r="X17" s="113">
        <f t="shared" ref="X17:X29" si="0">W17</f>
        <v>0</v>
      </c>
      <c r="Y17" s="368"/>
      <c r="Z17" s="368"/>
      <c r="AA17" s="368"/>
      <c r="AB17" s="368"/>
      <c r="AC17" s="113"/>
      <c r="AD17" s="113"/>
      <c r="AE17" s="113"/>
      <c r="AF17" s="113"/>
      <c r="AG17" s="113"/>
      <c r="AH17" s="113"/>
      <c r="AI17" s="113"/>
      <c r="AJ17" s="113"/>
      <c r="AK17" s="113"/>
      <c r="AL17" s="113"/>
      <c r="AM17" s="113"/>
      <c r="AN17" s="113"/>
      <c r="AO17" s="113"/>
      <c r="AP17" s="113"/>
      <c r="AQ17" s="188" t="s">
        <v>431</v>
      </c>
      <c r="AR17" s="188" t="s">
        <v>431</v>
      </c>
      <c r="AS17" s="721"/>
    </row>
    <row r="18" spans="1:61" s="349" customFormat="1" ht="92.25" customHeight="1">
      <c r="A18" s="968" t="s">
        <v>607</v>
      </c>
      <c r="B18" s="969"/>
      <c r="C18" s="969"/>
      <c r="D18" s="969"/>
      <c r="E18" s="969"/>
      <c r="F18" s="969"/>
      <c r="G18" s="969"/>
      <c r="H18" s="969"/>
      <c r="I18" s="969"/>
      <c r="J18" s="969"/>
      <c r="K18" s="969"/>
      <c r="L18" s="969"/>
      <c r="M18" s="969"/>
      <c r="N18" s="970"/>
      <c r="O18" s="186">
        <f>SUM(O8:O17)</f>
        <v>62</v>
      </c>
      <c r="P18" s="186" t="s">
        <v>452</v>
      </c>
      <c r="Q18" s="186">
        <f t="shared" ref="Q18:T18" si="1">SUM(Q8:Q17)</f>
        <v>9</v>
      </c>
      <c r="R18" s="186">
        <f t="shared" si="1"/>
        <v>19</v>
      </c>
      <c r="S18" s="186">
        <f t="shared" si="1"/>
        <v>19</v>
      </c>
      <c r="T18" s="186">
        <f t="shared" si="1"/>
        <v>15</v>
      </c>
      <c r="U18" s="63"/>
      <c r="V18" s="59"/>
      <c r="W18" s="60">
        <f>SUM(W8:W17)</f>
        <v>178665784.3152</v>
      </c>
      <c r="X18" s="60">
        <f>SUM(X8:X17)</f>
        <v>178665784.3152</v>
      </c>
      <c r="Y18" s="186">
        <f>SUM(Y8:Y17)</f>
        <v>0</v>
      </c>
      <c r="Z18" s="186">
        <f t="shared" ref="Z18:AB18" si="2">SUM(Z8:Z17)</f>
        <v>0</v>
      </c>
      <c r="AA18" s="186">
        <f t="shared" si="2"/>
        <v>0</v>
      </c>
      <c r="AB18" s="186">
        <f t="shared" si="2"/>
        <v>0</v>
      </c>
      <c r="AC18" s="60">
        <f>SUM(AC8:AC17)</f>
        <v>33897654</v>
      </c>
      <c r="AD18" s="60">
        <f t="shared" ref="AD18:AH18" si="3">SUM(AD8:AD17)</f>
        <v>33897654</v>
      </c>
      <c r="AE18" s="60">
        <f t="shared" si="3"/>
        <v>0</v>
      </c>
      <c r="AF18" s="60">
        <f t="shared" si="3"/>
        <v>0</v>
      </c>
      <c r="AG18" s="60">
        <f t="shared" si="3"/>
        <v>0</v>
      </c>
      <c r="AH18" s="60">
        <f t="shared" si="3"/>
        <v>0</v>
      </c>
      <c r="AI18" s="60"/>
      <c r="AJ18" s="60"/>
      <c r="AK18" s="60"/>
      <c r="AL18" s="60"/>
      <c r="AM18" s="60"/>
      <c r="AN18" s="60"/>
      <c r="AO18" s="60"/>
      <c r="AP18" s="60"/>
      <c r="AQ18" s="186"/>
      <c r="AR18" s="186"/>
      <c r="AS18" s="348"/>
      <c r="AT18" s="350"/>
      <c r="AU18" s="350"/>
      <c r="AV18" s="350"/>
      <c r="AW18" s="350"/>
      <c r="AX18" s="350"/>
      <c r="AY18" s="350"/>
      <c r="AZ18" s="350"/>
      <c r="BA18" s="350"/>
      <c r="BB18" s="350"/>
      <c r="BC18" s="350"/>
      <c r="BD18" s="350"/>
      <c r="BE18" s="350"/>
      <c r="BF18" s="350"/>
      <c r="BG18" s="350"/>
      <c r="BH18" s="350"/>
      <c r="BI18" s="350"/>
    </row>
    <row r="19" spans="1:61" s="218" customFormat="1" ht="96.75" customHeight="1">
      <c r="A19" s="709" t="s">
        <v>236</v>
      </c>
      <c r="B19" s="709" t="s">
        <v>237</v>
      </c>
      <c r="C19" s="188" t="s">
        <v>238</v>
      </c>
      <c r="D19" s="188" t="s">
        <v>18</v>
      </c>
      <c r="E19" s="188">
        <v>95</v>
      </c>
      <c r="F19" s="188">
        <v>95</v>
      </c>
      <c r="G19" s="709" t="s">
        <v>240</v>
      </c>
      <c r="H19" s="709" t="s">
        <v>241</v>
      </c>
      <c r="I19" s="709" t="s">
        <v>18</v>
      </c>
      <c r="J19" s="722">
        <v>92</v>
      </c>
      <c r="K19" s="722">
        <v>94</v>
      </c>
      <c r="L19" s="108"/>
      <c r="M19" s="106" t="s">
        <v>242</v>
      </c>
      <c r="N19" s="109" t="s">
        <v>506</v>
      </c>
      <c r="O19" s="188">
        <v>12</v>
      </c>
      <c r="P19" s="188" t="s">
        <v>17</v>
      </c>
      <c r="Q19" s="188">
        <v>3</v>
      </c>
      <c r="R19" s="188">
        <v>3</v>
      </c>
      <c r="S19" s="188">
        <v>3</v>
      </c>
      <c r="T19" s="188">
        <v>3</v>
      </c>
      <c r="U19" s="111" t="s">
        <v>20</v>
      </c>
      <c r="V19" s="112"/>
      <c r="W19" s="113">
        <v>20571428.571428601</v>
      </c>
      <c r="X19" s="113">
        <f t="shared" si="0"/>
        <v>20571428.571428601</v>
      </c>
      <c r="Y19" s="368"/>
      <c r="Z19" s="368"/>
      <c r="AA19" s="368"/>
      <c r="AB19" s="368"/>
      <c r="AC19" s="113">
        <v>3000000</v>
      </c>
      <c r="AD19" s="113">
        <v>3000000</v>
      </c>
      <c r="AE19" s="113"/>
      <c r="AF19" s="113"/>
      <c r="AG19" s="113"/>
      <c r="AH19" s="113"/>
      <c r="AI19" s="113"/>
      <c r="AJ19" s="113"/>
      <c r="AK19" s="113"/>
      <c r="AL19" s="113"/>
      <c r="AM19" s="113"/>
      <c r="AN19" s="113"/>
      <c r="AO19" s="113"/>
      <c r="AP19" s="113"/>
      <c r="AQ19" s="188" t="s">
        <v>431</v>
      </c>
      <c r="AR19" s="188" t="s">
        <v>431</v>
      </c>
      <c r="AS19" s="700" t="s">
        <v>335</v>
      </c>
    </row>
    <row r="20" spans="1:61" s="218" customFormat="1" ht="96.75" customHeight="1">
      <c r="A20" s="710"/>
      <c r="B20" s="710"/>
      <c r="C20" s="258"/>
      <c r="D20" s="258"/>
      <c r="E20" s="258"/>
      <c r="F20" s="258"/>
      <c r="G20" s="710"/>
      <c r="H20" s="710"/>
      <c r="I20" s="710"/>
      <c r="J20" s="772"/>
      <c r="K20" s="772"/>
      <c r="L20" s="108"/>
      <c r="M20" s="709" t="s">
        <v>243</v>
      </c>
      <c r="N20" s="109" t="s">
        <v>420</v>
      </c>
      <c r="O20" s="188">
        <v>6</v>
      </c>
      <c r="P20" s="188" t="s">
        <v>17</v>
      </c>
      <c r="Q20" s="188">
        <v>1</v>
      </c>
      <c r="R20" s="188">
        <v>2</v>
      </c>
      <c r="S20" s="188">
        <v>2</v>
      </c>
      <c r="T20" s="188">
        <v>1</v>
      </c>
      <c r="U20" s="962" t="s">
        <v>20</v>
      </c>
      <c r="V20" s="964"/>
      <c r="W20" s="966">
        <v>20571428.571428601</v>
      </c>
      <c r="X20" s="113"/>
      <c r="Y20" s="368"/>
      <c r="Z20" s="368"/>
      <c r="AA20" s="368"/>
      <c r="AB20" s="368"/>
      <c r="AC20" s="113">
        <v>3000000</v>
      </c>
      <c r="AD20" s="113">
        <v>3000000</v>
      </c>
      <c r="AE20" s="113"/>
      <c r="AF20" s="113"/>
      <c r="AG20" s="113"/>
      <c r="AH20" s="113"/>
      <c r="AI20" s="113"/>
      <c r="AJ20" s="113"/>
      <c r="AK20" s="113"/>
      <c r="AL20" s="113"/>
      <c r="AM20" s="113"/>
      <c r="AN20" s="113"/>
      <c r="AO20" s="113"/>
      <c r="AP20" s="113"/>
      <c r="AQ20" s="188" t="s">
        <v>431</v>
      </c>
      <c r="AR20" s="188" t="s">
        <v>431</v>
      </c>
      <c r="AS20" s="701"/>
    </row>
    <row r="21" spans="1:61" s="218" customFormat="1" ht="100.5" customHeight="1">
      <c r="A21" s="710"/>
      <c r="B21" s="710"/>
      <c r="C21" s="709" t="s">
        <v>239</v>
      </c>
      <c r="D21" s="709" t="s">
        <v>18</v>
      </c>
      <c r="E21" s="709">
        <v>100</v>
      </c>
      <c r="F21" s="709">
        <v>100</v>
      </c>
      <c r="G21" s="711"/>
      <c r="H21" s="711"/>
      <c r="I21" s="711"/>
      <c r="J21" s="723"/>
      <c r="K21" s="723"/>
      <c r="L21" s="108"/>
      <c r="M21" s="711"/>
      <c r="N21" s="109" t="s">
        <v>421</v>
      </c>
      <c r="O21" s="188">
        <v>6</v>
      </c>
      <c r="P21" s="188" t="s">
        <v>17</v>
      </c>
      <c r="Q21" s="188">
        <v>1</v>
      </c>
      <c r="R21" s="188">
        <v>2</v>
      </c>
      <c r="S21" s="188">
        <v>2</v>
      </c>
      <c r="T21" s="188">
        <v>1</v>
      </c>
      <c r="U21" s="963"/>
      <c r="V21" s="965"/>
      <c r="W21" s="967"/>
      <c r="X21" s="113">
        <f>W20</f>
        <v>20571428.571428601</v>
      </c>
      <c r="Y21" s="368"/>
      <c r="Z21" s="368"/>
      <c r="AA21" s="368"/>
      <c r="AB21" s="368"/>
      <c r="AC21" s="113">
        <v>3000000</v>
      </c>
      <c r="AD21" s="113">
        <v>3000000</v>
      </c>
      <c r="AE21" s="113"/>
      <c r="AF21" s="113"/>
      <c r="AG21" s="113"/>
      <c r="AH21" s="113"/>
      <c r="AI21" s="113"/>
      <c r="AJ21" s="113"/>
      <c r="AK21" s="113"/>
      <c r="AL21" s="113"/>
      <c r="AM21" s="113"/>
      <c r="AN21" s="113"/>
      <c r="AO21" s="113"/>
      <c r="AP21" s="113"/>
      <c r="AQ21" s="188" t="s">
        <v>431</v>
      </c>
      <c r="AR21" s="188" t="s">
        <v>431</v>
      </c>
      <c r="AS21" s="701"/>
    </row>
    <row r="22" spans="1:61" s="218" customFormat="1" ht="106.5" customHeight="1">
      <c r="A22" s="710"/>
      <c r="B22" s="710"/>
      <c r="C22" s="710"/>
      <c r="D22" s="710"/>
      <c r="E22" s="710"/>
      <c r="F22" s="710"/>
      <c r="G22" s="709" t="s">
        <v>244</v>
      </c>
      <c r="H22" s="709" t="s">
        <v>245</v>
      </c>
      <c r="I22" s="709" t="s">
        <v>18</v>
      </c>
      <c r="J22" s="722">
        <v>100</v>
      </c>
      <c r="K22" s="722">
        <v>100</v>
      </c>
      <c r="L22" s="108"/>
      <c r="M22" s="722" t="s">
        <v>246</v>
      </c>
      <c r="N22" s="109" t="s">
        <v>422</v>
      </c>
      <c r="O22" s="188">
        <v>6</v>
      </c>
      <c r="P22" s="188" t="s">
        <v>17</v>
      </c>
      <c r="Q22" s="188">
        <v>1</v>
      </c>
      <c r="R22" s="188">
        <v>2</v>
      </c>
      <c r="S22" s="188">
        <v>2</v>
      </c>
      <c r="T22" s="188">
        <v>1</v>
      </c>
      <c r="U22" s="962" t="s">
        <v>20</v>
      </c>
      <c r="V22" s="964"/>
      <c r="W22" s="966">
        <v>20571428.571428601</v>
      </c>
      <c r="X22" s="966">
        <f t="shared" si="0"/>
        <v>20571428.571428601</v>
      </c>
      <c r="Y22" s="368"/>
      <c r="Z22" s="368"/>
      <c r="AA22" s="368"/>
      <c r="AB22" s="368"/>
      <c r="AC22" s="113">
        <v>3000000</v>
      </c>
      <c r="AD22" s="113">
        <v>3000000</v>
      </c>
      <c r="AE22" s="113"/>
      <c r="AF22" s="113"/>
      <c r="AG22" s="113"/>
      <c r="AH22" s="113"/>
      <c r="AI22" s="113"/>
      <c r="AJ22" s="113"/>
      <c r="AK22" s="113"/>
      <c r="AL22" s="113"/>
      <c r="AM22" s="113"/>
      <c r="AN22" s="113"/>
      <c r="AO22" s="113"/>
      <c r="AP22" s="113"/>
      <c r="AQ22" s="188" t="s">
        <v>431</v>
      </c>
      <c r="AR22" s="188" t="s">
        <v>431</v>
      </c>
      <c r="AS22" s="701"/>
    </row>
    <row r="23" spans="1:61" s="218" customFormat="1" ht="75.75" customHeight="1">
      <c r="A23" s="710"/>
      <c r="B23" s="710"/>
      <c r="C23" s="710"/>
      <c r="D23" s="710"/>
      <c r="E23" s="710"/>
      <c r="F23" s="710"/>
      <c r="G23" s="710"/>
      <c r="H23" s="710"/>
      <c r="I23" s="710"/>
      <c r="J23" s="772"/>
      <c r="K23" s="772"/>
      <c r="L23" s="108"/>
      <c r="M23" s="723"/>
      <c r="N23" s="109" t="s">
        <v>423</v>
      </c>
      <c r="O23" s="188">
        <v>6</v>
      </c>
      <c r="P23" s="188" t="s">
        <v>17</v>
      </c>
      <c r="Q23" s="188">
        <v>1</v>
      </c>
      <c r="R23" s="188">
        <v>2</v>
      </c>
      <c r="S23" s="188">
        <v>2</v>
      </c>
      <c r="T23" s="188">
        <v>1</v>
      </c>
      <c r="U23" s="963"/>
      <c r="V23" s="965"/>
      <c r="W23" s="967"/>
      <c r="X23" s="967"/>
      <c r="Y23" s="368"/>
      <c r="Z23" s="368"/>
      <c r="AA23" s="368"/>
      <c r="AB23" s="368"/>
      <c r="AC23" s="113">
        <v>3000000</v>
      </c>
      <c r="AD23" s="113">
        <v>3000000</v>
      </c>
      <c r="AE23" s="113"/>
      <c r="AF23" s="113"/>
      <c r="AG23" s="113"/>
      <c r="AH23" s="113"/>
      <c r="AI23" s="113"/>
      <c r="AJ23" s="113"/>
      <c r="AK23" s="113"/>
      <c r="AL23" s="113"/>
      <c r="AM23" s="113"/>
      <c r="AN23" s="113"/>
      <c r="AO23" s="113"/>
      <c r="AP23" s="113"/>
      <c r="AQ23" s="188" t="s">
        <v>431</v>
      </c>
      <c r="AR23" s="188" t="s">
        <v>431</v>
      </c>
      <c r="AS23" s="701"/>
    </row>
    <row r="24" spans="1:61" s="218" customFormat="1" ht="42.75" customHeight="1">
      <c r="A24" s="710"/>
      <c r="B24" s="710"/>
      <c r="C24" s="710"/>
      <c r="D24" s="710"/>
      <c r="E24" s="710"/>
      <c r="F24" s="710"/>
      <c r="G24" s="710"/>
      <c r="H24" s="710"/>
      <c r="I24" s="710"/>
      <c r="J24" s="772"/>
      <c r="K24" s="772"/>
      <c r="L24" s="108"/>
      <c r="M24" s="106" t="s">
        <v>247</v>
      </c>
      <c r="N24" s="109" t="s">
        <v>424</v>
      </c>
      <c r="O24" s="188">
        <v>2</v>
      </c>
      <c r="P24" s="188" t="s">
        <v>17</v>
      </c>
      <c r="Q24" s="188">
        <v>1</v>
      </c>
      <c r="R24" s="188">
        <v>0</v>
      </c>
      <c r="S24" s="188">
        <v>0</v>
      </c>
      <c r="T24" s="188">
        <v>1</v>
      </c>
      <c r="U24" s="111" t="s">
        <v>20</v>
      </c>
      <c r="V24" s="197"/>
      <c r="W24" s="196">
        <v>20571428.571428601</v>
      </c>
      <c r="X24" s="113">
        <f>W24</f>
        <v>20571428.571428601</v>
      </c>
      <c r="Y24" s="368"/>
      <c r="Z24" s="368"/>
      <c r="AA24" s="368"/>
      <c r="AB24" s="368"/>
      <c r="AC24" s="113">
        <v>3000000</v>
      </c>
      <c r="AD24" s="113">
        <v>3000000</v>
      </c>
      <c r="AE24" s="113"/>
      <c r="AF24" s="113"/>
      <c r="AG24" s="113"/>
      <c r="AH24" s="113"/>
      <c r="AI24" s="113"/>
      <c r="AJ24" s="113"/>
      <c r="AK24" s="113"/>
      <c r="AL24" s="113"/>
      <c r="AM24" s="113"/>
      <c r="AN24" s="113"/>
      <c r="AO24" s="113"/>
      <c r="AP24" s="113"/>
      <c r="AQ24" s="188" t="s">
        <v>431</v>
      </c>
      <c r="AR24" s="188" t="s">
        <v>431</v>
      </c>
      <c r="AS24" s="701"/>
    </row>
    <row r="25" spans="1:61" s="218" customFormat="1" ht="42.75" customHeight="1">
      <c r="A25" s="710"/>
      <c r="B25" s="710"/>
      <c r="C25" s="710"/>
      <c r="D25" s="710"/>
      <c r="E25" s="710"/>
      <c r="F25" s="710"/>
      <c r="G25" s="710"/>
      <c r="H25" s="710"/>
      <c r="I25" s="710"/>
      <c r="J25" s="772"/>
      <c r="K25" s="772"/>
      <c r="L25" s="108"/>
      <c r="M25" s="722" t="s">
        <v>248</v>
      </c>
      <c r="N25" s="109" t="s">
        <v>425</v>
      </c>
      <c r="O25" s="188">
        <v>6</v>
      </c>
      <c r="P25" s="188" t="s">
        <v>17</v>
      </c>
      <c r="Q25" s="188">
        <v>1</v>
      </c>
      <c r="R25" s="188">
        <v>2</v>
      </c>
      <c r="S25" s="188">
        <v>2</v>
      </c>
      <c r="T25" s="188">
        <v>1</v>
      </c>
      <c r="U25" s="962" t="s">
        <v>20</v>
      </c>
      <c r="V25" s="964"/>
      <c r="W25" s="966">
        <v>20571428.571428601</v>
      </c>
      <c r="X25" s="966">
        <f>W25</f>
        <v>20571428.571428601</v>
      </c>
      <c r="Y25" s="368"/>
      <c r="Z25" s="368"/>
      <c r="AA25" s="368"/>
      <c r="AB25" s="368"/>
      <c r="AC25" s="113">
        <v>3000000</v>
      </c>
      <c r="AD25" s="113">
        <v>3000000</v>
      </c>
      <c r="AE25" s="113"/>
      <c r="AF25" s="113"/>
      <c r="AG25" s="113"/>
      <c r="AH25" s="113"/>
      <c r="AI25" s="113"/>
      <c r="AJ25" s="113"/>
      <c r="AK25" s="113"/>
      <c r="AL25" s="113"/>
      <c r="AM25" s="113"/>
      <c r="AN25" s="113"/>
      <c r="AO25" s="113"/>
      <c r="AP25" s="113"/>
      <c r="AQ25" s="188" t="s">
        <v>431</v>
      </c>
      <c r="AR25" s="188" t="s">
        <v>431</v>
      </c>
      <c r="AS25" s="701"/>
    </row>
    <row r="26" spans="1:61" s="218" customFormat="1" ht="63" customHeight="1">
      <c r="A26" s="710"/>
      <c r="B26" s="710"/>
      <c r="C26" s="710"/>
      <c r="D26" s="710"/>
      <c r="E26" s="710"/>
      <c r="F26" s="710"/>
      <c r="G26" s="710"/>
      <c r="H26" s="710"/>
      <c r="I26" s="710"/>
      <c r="J26" s="772"/>
      <c r="K26" s="772"/>
      <c r="L26" s="108"/>
      <c r="M26" s="772"/>
      <c r="N26" s="109" t="s">
        <v>426</v>
      </c>
      <c r="O26" s="188">
        <v>6</v>
      </c>
      <c r="P26" s="188" t="s">
        <v>17</v>
      </c>
      <c r="Q26" s="188">
        <v>1</v>
      </c>
      <c r="R26" s="188">
        <v>2</v>
      </c>
      <c r="S26" s="188">
        <v>2</v>
      </c>
      <c r="T26" s="188">
        <v>1</v>
      </c>
      <c r="U26" s="971"/>
      <c r="V26" s="972"/>
      <c r="W26" s="973"/>
      <c r="X26" s="973"/>
      <c r="Y26" s="368"/>
      <c r="Z26" s="368"/>
      <c r="AA26" s="368"/>
      <c r="AB26" s="368"/>
      <c r="AC26" s="113">
        <v>3000000</v>
      </c>
      <c r="AD26" s="113">
        <v>3000000</v>
      </c>
      <c r="AE26" s="113"/>
      <c r="AF26" s="113"/>
      <c r="AG26" s="113"/>
      <c r="AH26" s="113"/>
      <c r="AI26" s="113"/>
      <c r="AJ26" s="113"/>
      <c r="AK26" s="113"/>
      <c r="AL26" s="113"/>
      <c r="AM26" s="113"/>
      <c r="AN26" s="113"/>
      <c r="AO26" s="113"/>
      <c r="AP26" s="113"/>
      <c r="AQ26" s="188" t="s">
        <v>431</v>
      </c>
      <c r="AR26" s="188" t="s">
        <v>431</v>
      </c>
      <c r="AS26" s="701"/>
    </row>
    <row r="27" spans="1:61" s="218" customFormat="1" ht="96" customHeight="1">
      <c r="A27" s="710"/>
      <c r="B27" s="710"/>
      <c r="C27" s="710"/>
      <c r="D27" s="710"/>
      <c r="E27" s="710"/>
      <c r="F27" s="710"/>
      <c r="G27" s="710"/>
      <c r="H27" s="710"/>
      <c r="I27" s="710"/>
      <c r="J27" s="772"/>
      <c r="K27" s="772"/>
      <c r="L27" s="108"/>
      <c r="M27" s="723"/>
      <c r="N27" s="109" t="s">
        <v>427</v>
      </c>
      <c r="O27" s="188">
        <v>6</v>
      </c>
      <c r="P27" s="188" t="s">
        <v>17</v>
      </c>
      <c r="Q27" s="188">
        <v>1</v>
      </c>
      <c r="R27" s="188">
        <v>2</v>
      </c>
      <c r="S27" s="188">
        <v>2</v>
      </c>
      <c r="T27" s="188">
        <v>1</v>
      </c>
      <c r="U27" s="963"/>
      <c r="V27" s="965"/>
      <c r="W27" s="967"/>
      <c r="X27" s="967"/>
      <c r="Y27" s="368"/>
      <c r="Z27" s="368"/>
      <c r="AA27" s="368"/>
      <c r="AB27" s="368"/>
      <c r="AC27" s="113">
        <v>3000000</v>
      </c>
      <c r="AD27" s="113">
        <v>3000000</v>
      </c>
      <c r="AE27" s="113"/>
      <c r="AF27" s="113"/>
      <c r="AG27" s="113"/>
      <c r="AH27" s="113"/>
      <c r="AI27" s="113"/>
      <c r="AJ27" s="113"/>
      <c r="AK27" s="113"/>
      <c r="AL27" s="113"/>
      <c r="AM27" s="113"/>
      <c r="AN27" s="113"/>
      <c r="AO27" s="113"/>
      <c r="AP27" s="113"/>
      <c r="AQ27" s="188" t="s">
        <v>431</v>
      </c>
      <c r="AR27" s="188" t="s">
        <v>431</v>
      </c>
      <c r="AS27" s="701"/>
    </row>
    <row r="28" spans="1:61" s="218" customFormat="1" ht="126" customHeight="1">
      <c r="A28" s="710"/>
      <c r="B28" s="710"/>
      <c r="C28" s="710"/>
      <c r="D28" s="710"/>
      <c r="E28" s="710"/>
      <c r="F28" s="710"/>
      <c r="G28" s="710"/>
      <c r="H28" s="710"/>
      <c r="I28" s="710"/>
      <c r="J28" s="772"/>
      <c r="K28" s="772"/>
      <c r="L28" s="108"/>
      <c r="M28" s="188" t="s">
        <v>249</v>
      </c>
      <c r="N28" s="109" t="s">
        <v>428</v>
      </c>
      <c r="O28" s="188">
        <v>10</v>
      </c>
      <c r="P28" s="188" t="s">
        <v>17</v>
      </c>
      <c r="Q28" s="188">
        <v>1</v>
      </c>
      <c r="R28" s="188">
        <v>3</v>
      </c>
      <c r="S28" s="188">
        <v>3</v>
      </c>
      <c r="T28" s="188">
        <v>3</v>
      </c>
      <c r="U28" s="111" t="s">
        <v>20</v>
      </c>
      <c r="V28" s="112"/>
      <c r="W28" s="113">
        <v>20571428.571428601</v>
      </c>
      <c r="X28" s="113">
        <f t="shared" si="0"/>
        <v>20571428.571428601</v>
      </c>
      <c r="Y28" s="368"/>
      <c r="Z28" s="368"/>
      <c r="AA28" s="368"/>
      <c r="AB28" s="368"/>
      <c r="AC28" s="113">
        <v>3000000</v>
      </c>
      <c r="AD28" s="113">
        <v>3000000</v>
      </c>
      <c r="AE28" s="113"/>
      <c r="AF28" s="113"/>
      <c r="AG28" s="113"/>
      <c r="AH28" s="113"/>
      <c r="AI28" s="113"/>
      <c r="AJ28" s="113"/>
      <c r="AK28" s="113"/>
      <c r="AL28" s="113"/>
      <c r="AM28" s="113"/>
      <c r="AN28" s="113"/>
      <c r="AO28" s="113"/>
      <c r="AP28" s="113"/>
      <c r="AQ28" s="188" t="s">
        <v>431</v>
      </c>
      <c r="AR28" s="188" t="s">
        <v>431</v>
      </c>
      <c r="AS28" s="701"/>
    </row>
    <row r="29" spans="1:61" s="218" customFormat="1" ht="75" customHeight="1" thickBot="1">
      <c r="A29" s="735"/>
      <c r="B29" s="735"/>
      <c r="C29" s="735"/>
      <c r="D29" s="735"/>
      <c r="E29" s="735"/>
      <c r="F29" s="735"/>
      <c r="G29" s="735"/>
      <c r="H29" s="735"/>
      <c r="I29" s="735"/>
      <c r="J29" s="773"/>
      <c r="K29" s="773"/>
      <c r="L29" s="118"/>
      <c r="M29" s="258" t="s">
        <v>250</v>
      </c>
      <c r="N29" s="119" t="s">
        <v>429</v>
      </c>
      <c r="O29" s="188">
        <v>10</v>
      </c>
      <c r="P29" s="188" t="s">
        <v>17</v>
      </c>
      <c r="Q29" s="188">
        <v>1</v>
      </c>
      <c r="R29" s="188">
        <v>3</v>
      </c>
      <c r="S29" s="188">
        <v>3</v>
      </c>
      <c r="T29" s="188">
        <v>3</v>
      </c>
      <c r="U29" s="258" t="s">
        <v>20</v>
      </c>
      <c r="V29" s="254"/>
      <c r="W29" s="251">
        <v>20571428.571428601</v>
      </c>
      <c r="X29" s="113">
        <f t="shared" si="0"/>
        <v>20571428.571428601</v>
      </c>
      <c r="Y29" s="368"/>
      <c r="Z29" s="368"/>
      <c r="AA29" s="368"/>
      <c r="AB29" s="368"/>
      <c r="AC29" s="113">
        <v>3000000</v>
      </c>
      <c r="AD29" s="113">
        <v>3000000</v>
      </c>
      <c r="AE29" s="113"/>
      <c r="AF29" s="113"/>
      <c r="AG29" s="113"/>
      <c r="AH29" s="113"/>
      <c r="AI29" s="113"/>
      <c r="AJ29" s="113"/>
      <c r="AK29" s="113"/>
      <c r="AL29" s="113"/>
      <c r="AM29" s="113"/>
      <c r="AN29" s="113"/>
      <c r="AO29" s="113"/>
      <c r="AP29" s="113"/>
      <c r="AQ29" s="188" t="s">
        <v>431</v>
      </c>
      <c r="AR29" s="188" t="s">
        <v>431</v>
      </c>
      <c r="AS29" s="702"/>
    </row>
    <row r="30" spans="1:61" s="218" customFormat="1" ht="52.5" customHeight="1">
      <c r="A30" s="968" t="s">
        <v>607</v>
      </c>
      <c r="B30" s="969"/>
      <c r="C30" s="969"/>
      <c r="D30" s="969"/>
      <c r="E30" s="969"/>
      <c r="F30" s="969"/>
      <c r="G30" s="969"/>
      <c r="H30" s="969"/>
      <c r="I30" s="969"/>
      <c r="J30" s="969"/>
      <c r="K30" s="969"/>
      <c r="L30" s="969"/>
      <c r="M30" s="969"/>
      <c r="N30" s="970"/>
      <c r="O30" s="186">
        <f>SUM(O19:O29)</f>
        <v>76</v>
      </c>
      <c r="P30" s="186" t="s">
        <v>17</v>
      </c>
      <c r="Q30" s="186">
        <f>SUM(Q19:Q29)</f>
        <v>13</v>
      </c>
      <c r="R30" s="186">
        <f t="shared" ref="R30:T30" si="4">SUM(R19:R29)</f>
        <v>23</v>
      </c>
      <c r="S30" s="186">
        <f t="shared" si="4"/>
        <v>23</v>
      </c>
      <c r="T30" s="186">
        <f t="shared" si="4"/>
        <v>17</v>
      </c>
      <c r="U30" s="63"/>
      <c r="V30" s="59"/>
      <c r="W30" s="60">
        <f>SUM(W19:W29)</f>
        <v>144000000.00000021</v>
      </c>
      <c r="X30" s="60">
        <f>SUM(X19:X29)</f>
        <v>144000000.00000021</v>
      </c>
      <c r="Y30" s="186">
        <f>SUM(Y19:Y29)</f>
        <v>0</v>
      </c>
      <c r="Z30" s="186">
        <f t="shared" ref="Z30:AB30" si="5">SUM(Z19:Z29)</f>
        <v>0</v>
      </c>
      <c r="AA30" s="186">
        <f t="shared" si="5"/>
        <v>0</v>
      </c>
      <c r="AB30" s="186">
        <f t="shared" si="5"/>
        <v>0</v>
      </c>
      <c r="AC30" s="60">
        <f>SUM(AC19:AC29)</f>
        <v>33000000</v>
      </c>
      <c r="AD30" s="60">
        <f t="shared" ref="AD30:AH30" si="6">SUM(AD19:AD29)</f>
        <v>33000000</v>
      </c>
      <c r="AE30" s="60">
        <f t="shared" si="6"/>
        <v>0</v>
      </c>
      <c r="AF30" s="60">
        <f t="shared" si="6"/>
        <v>0</v>
      </c>
      <c r="AG30" s="60">
        <f t="shared" si="6"/>
        <v>0</v>
      </c>
      <c r="AH30" s="60">
        <f t="shared" si="6"/>
        <v>0</v>
      </c>
      <c r="AI30" s="60"/>
      <c r="AJ30" s="60"/>
      <c r="AK30" s="60"/>
      <c r="AL30" s="60"/>
      <c r="AM30" s="60"/>
      <c r="AN30" s="60"/>
      <c r="AO30" s="60"/>
      <c r="AP30" s="60"/>
      <c r="AQ30" s="186"/>
      <c r="AR30" s="186"/>
    </row>
    <row r="31" spans="1:61" s="218" customFormat="1">
      <c r="A31" s="3"/>
      <c r="B31" s="3"/>
      <c r="C31" s="3"/>
      <c r="D31" s="3"/>
      <c r="E31" s="3"/>
      <c r="F31" s="3"/>
      <c r="G31" s="3"/>
      <c r="H31" s="3"/>
      <c r="I31" s="3"/>
      <c r="N31" s="5"/>
      <c r="O31" s="3"/>
      <c r="P31" s="3"/>
      <c r="Q31" s="3"/>
      <c r="R31" s="3"/>
      <c r="S31" s="3"/>
      <c r="T31" s="3"/>
      <c r="U31" s="7">
        <v>90692582256</v>
      </c>
      <c r="V31" s="3"/>
      <c r="W31" s="8"/>
      <c r="X31" s="9"/>
      <c r="Y31" s="9"/>
      <c r="Z31" s="9"/>
      <c r="AA31" s="9"/>
      <c r="AB31" s="9"/>
      <c r="AC31" s="9"/>
      <c r="AD31" s="9"/>
      <c r="AE31" s="9"/>
      <c r="AF31" s="9"/>
      <c r="AG31" s="9"/>
      <c r="AH31" s="9"/>
      <c r="AI31" s="9"/>
      <c r="AJ31" s="9"/>
      <c r="AK31" s="9"/>
      <c r="AL31" s="9"/>
      <c r="AM31" s="9"/>
      <c r="AN31" s="9"/>
      <c r="AO31" s="9"/>
      <c r="AP31" s="9"/>
      <c r="AQ31" s="3"/>
      <c r="AR31" s="3"/>
    </row>
    <row r="32" spans="1:61" s="218" customFormat="1">
      <c r="A32" s="3"/>
      <c r="B32" s="3"/>
      <c r="C32" s="3"/>
      <c r="D32" s="3"/>
      <c r="E32" s="3"/>
      <c r="F32" s="3"/>
      <c r="G32" s="3"/>
      <c r="H32" s="3"/>
      <c r="I32" s="3"/>
      <c r="N32" s="5"/>
      <c r="O32" s="3"/>
      <c r="P32" s="3"/>
      <c r="Q32" s="3"/>
      <c r="R32" s="3"/>
      <c r="S32" s="3"/>
      <c r="T32" s="3"/>
      <c r="U32" s="7">
        <v>59707696938</v>
      </c>
      <c r="V32" s="3"/>
      <c r="W32" s="8"/>
      <c r="X32" s="13" t="e">
        <f>#REF!-#REF!</f>
        <v>#REF!</v>
      </c>
      <c r="Y32" s="13"/>
      <c r="Z32" s="13"/>
      <c r="AA32" s="13"/>
      <c r="AB32" s="13"/>
      <c r="AC32" s="13"/>
      <c r="AD32" s="13"/>
      <c r="AE32" s="13"/>
      <c r="AF32" s="13"/>
      <c r="AG32" s="13"/>
      <c r="AH32" s="13"/>
      <c r="AI32" s="13"/>
      <c r="AJ32" s="13"/>
      <c r="AK32" s="13"/>
      <c r="AL32" s="13"/>
      <c r="AM32" s="13"/>
      <c r="AN32" s="13"/>
      <c r="AO32" s="13"/>
      <c r="AP32" s="13"/>
      <c r="AQ32" s="3"/>
      <c r="AR32" s="3"/>
    </row>
    <row r="33" spans="1:44" s="218" customFormat="1">
      <c r="A33" s="3"/>
      <c r="B33" s="3"/>
      <c r="C33" s="3"/>
      <c r="D33" s="3"/>
      <c r="E33" s="3"/>
      <c r="F33" s="3"/>
      <c r="G33" s="3"/>
      <c r="H33" s="3"/>
      <c r="M33" s="5"/>
      <c r="N33" s="3"/>
      <c r="O33" s="3"/>
      <c r="P33" s="3"/>
      <c r="Q33" s="3"/>
      <c r="R33" s="3"/>
      <c r="S33" s="3"/>
      <c r="T33" s="3"/>
      <c r="U33" s="7">
        <f>+U31-U32</f>
        <v>30984885318</v>
      </c>
      <c r="V33" s="3"/>
      <c r="W33" s="8"/>
      <c r="X33" s="8"/>
      <c r="Y33" s="8"/>
      <c r="Z33" s="8"/>
      <c r="AA33" s="8"/>
      <c r="AB33" s="8"/>
      <c r="AC33" s="8"/>
      <c r="AD33" s="8"/>
      <c r="AE33" s="8"/>
      <c r="AF33" s="8"/>
      <c r="AG33" s="8"/>
      <c r="AH33" s="8"/>
      <c r="AI33" s="8"/>
      <c r="AJ33" s="8"/>
      <c r="AK33" s="8"/>
      <c r="AL33" s="8"/>
      <c r="AM33" s="8"/>
      <c r="AN33" s="8"/>
      <c r="AO33" s="8"/>
      <c r="AP33" s="8"/>
      <c r="AQ33" s="3"/>
      <c r="AR33" s="3"/>
    </row>
    <row r="34" spans="1:44" s="218" customFormat="1" ht="15">
      <c r="A34" s="877" t="s">
        <v>601</v>
      </c>
      <c r="B34" s="877"/>
      <c r="C34" s="877"/>
      <c r="D34" s="877"/>
      <c r="E34" s="877"/>
      <c r="F34" s="877"/>
      <c r="G34" s="877"/>
      <c r="H34" s="877"/>
      <c r="I34" s="877"/>
      <c r="J34" s="877"/>
      <c r="K34" s="877"/>
      <c r="L34" s="877"/>
      <c r="M34" s="877"/>
      <c r="N34" s="877"/>
      <c r="O34" s="877"/>
      <c r="P34" s="3"/>
      <c r="Q34" s="3"/>
      <c r="R34" s="3"/>
      <c r="S34" s="3"/>
      <c r="T34" s="3"/>
      <c r="U34" s="7"/>
      <c r="V34" s="3"/>
      <c r="W34" s="8"/>
      <c r="X34" s="8"/>
      <c r="Y34" s="8"/>
      <c r="Z34" s="8"/>
      <c r="AA34" s="8"/>
      <c r="AB34" s="8"/>
      <c r="AC34" s="8"/>
      <c r="AD34" s="8"/>
      <c r="AE34" s="8"/>
      <c r="AF34" s="8"/>
      <c r="AG34" s="8"/>
      <c r="AH34" s="8"/>
      <c r="AI34" s="8"/>
      <c r="AJ34" s="8"/>
      <c r="AK34" s="8"/>
      <c r="AL34" s="8"/>
      <c r="AM34" s="8"/>
      <c r="AN34" s="8"/>
      <c r="AO34" s="8"/>
      <c r="AP34" s="8"/>
      <c r="AQ34" s="3"/>
      <c r="AR34" s="3"/>
    </row>
    <row r="35" spans="1:44" s="218" customFormat="1" ht="60">
      <c r="A35" s="318" t="s">
        <v>598</v>
      </c>
      <c r="B35" s="319" t="s">
        <v>587</v>
      </c>
      <c r="C35" s="319" t="s">
        <v>588</v>
      </c>
      <c r="D35" s="319" t="s">
        <v>589</v>
      </c>
      <c r="E35" s="319" t="s">
        <v>590</v>
      </c>
      <c r="F35" s="319" t="s">
        <v>589</v>
      </c>
      <c r="G35" s="319" t="s">
        <v>591</v>
      </c>
      <c r="H35" s="319" t="s">
        <v>589</v>
      </c>
      <c r="I35" s="319"/>
      <c r="J35" s="320"/>
      <c r="K35" s="320"/>
      <c r="L35" s="320"/>
      <c r="M35" s="319" t="s">
        <v>589</v>
      </c>
      <c r="N35" s="319" t="s">
        <v>592</v>
      </c>
      <c r="O35" s="319" t="s">
        <v>589</v>
      </c>
      <c r="P35" s="3"/>
      <c r="Q35" s="3"/>
      <c r="R35" s="3"/>
      <c r="S35" s="3"/>
      <c r="T35" s="3"/>
      <c r="U35" s="7"/>
      <c r="V35" s="3"/>
      <c r="W35" s="8"/>
      <c r="X35" s="8" t="e">
        <f>#REF!-X37</f>
        <v>#REF!</v>
      </c>
      <c r="Y35" s="8"/>
      <c r="Z35" s="8"/>
      <c r="AA35" s="8"/>
      <c r="AB35" s="8"/>
      <c r="AC35" s="8"/>
      <c r="AD35" s="8"/>
      <c r="AE35" s="8"/>
      <c r="AF35" s="8"/>
      <c r="AG35" s="8"/>
      <c r="AH35" s="8"/>
      <c r="AI35" s="8"/>
      <c r="AJ35" s="8"/>
      <c r="AK35" s="8"/>
      <c r="AL35" s="8"/>
      <c r="AM35" s="8"/>
      <c r="AN35" s="8"/>
      <c r="AO35" s="8"/>
      <c r="AP35" s="8"/>
      <c r="AQ35" s="3"/>
      <c r="AR35" s="3"/>
    </row>
    <row r="36" spans="1:44" s="218" customFormat="1">
      <c r="A36" s="303" t="s">
        <v>599</v>
      </c>
      <c r="B36" s="303">
        <f>O18</f>
        <v>62</v>
      </c>
      <c r="C36" s="311">
        <f>Y18</f>
        <v>0</v>
      </c>
      <c r="D36" s="314">
        <f>B36*C36/100</f>
        <v>0</v>
      </c>
      <c r="E36" s="311">
        <f>Z18</f>
        <v>0</v>
      </c>
      <c r="F36" s="314">
        <f>B36*E36/100</f>
        <v>0</v>
      </c>
      <c r="G36" s="311">
        <f>AA18</f>
        <v>0</v>
      </c>
      <c r="H36" s="314">
        <f>B36*G36/100</f>
        <v>0</v>
      </c>
      <c r="I36" s="304"/>
      <c r="J36" s="304"/>
      <c r="K36" s="304"/>
      <c r="L36" s="304"/>
      <c r="M36" s="305"/>
      <c r="N36" s="311">
        <f>AB18</f>
        <v>0</v>
      </c>
      <c r="O36" s="314">
        <f>B36*N36/100</f>
        <v>0</v>
      </c>
      <c r="P36" s="3"/>
      <c r="Q36" s="3"/>
      <c r="R36" s="3"/>
      <c r="S36" s="3"/>
      <c r="T36" s="3"/>
      <c r="U36" s="178" t="e">
        <f>U32-#REF!</f>
        <v>#REF!</v>
      </c>
      <c r="V36" s="3"/>
      <c r="W36" s="8"/>
      <c r="X36" s="8"/>
      <c r="Y36" s="8"/>
      <c r="Z36" s="8"/>
      <c r="AA36" s="8"/>
      <c r="AB36" s="8"/>
      <c r="AC36" s="8"/>
      <c r="AD36" s="8"/>
      <c r="AE36" s="8"/>
      <c r="AF36" s="8"/>
      <c r="AG36" s="8"/>
      <c r="AH36" s="8"/>
      <c r="AI36" s="8"/>
      <c r="AJ36" s="8"/>
      <c r="AK36" s="8"/>
      <c r="AL36" s="8"/>
      <c r="AM36" s="8"/>
      <c r="AN36" s="8"/>
      <c r="AO36" s="8"/>
      <c r="AP36" s="8"/>
      <c r="AQ36" s="3"/>
      <c r="AR36" s="3"/>
    </row>
    <row r="37" spans="1:44" s="218" customFormat="1" ht="23.25">
      <c r="A37" s="7"/>
      <c r="B37" s="7"/>
      <c r="C37" s="7"/>
      <c r="D37" s="7"/>
      <c r="E37" s="7"/>
      <c r="F37" s="7"/>
      <c r="G37" s="7"/>
      <c r="H37" s="7"/>
      <c r="I37" s="306"/>
      <c r="J37" s="306"/>
      <c r="K37" s="306"/>
      <c r="L37" s="306"/>
      <c r="M37" s="307"/>
      <c r="N37" s="7"/>
      <c r="O37" s="3"/>
      <c r="P37" s="3"/>
      <c r="Q37" s="3"/>
      <c r="R37" s="3"/>
      <c r="S37" s="3"/>
      <c r="T37" s="3"/>
      <c r="U37" s="7"/>
      <c r="V37" s="3"/>
      <c r="W37" s="8"/>
      <c r="X37" s="14">
        <v>90692582257</v>
      </c>
      <c r="Y37" s="286"/>
      <c r="Z37" s="286"/>
      <c r="AA37" s="286"/>
      <c r="AB37" s="286"/>
      <c r="AC37" s="286"/>
      <c r="AD37" s="286"/>
      <c r="AE37" s="286"/>
      <c r="AF37" s="286"/>
      <c r="AG37" s="286"/>
      <c r="AH37" s="286"/>
      <c r="AI37" s="286"/>
      <c r="AJ37" s="286"/>
      <c r="AK37" s="286"/>
      <c r="AL37" s="286"/>
      <c r="AM37" s="286"/>
      <c r="AN37" s="286"/>
      <c r="AO37" s="286"/>
      <c r="AP37" s="286"/>
      <c r="AQ37" s="15" t="e">
        <f>X37-#REF!</f>
        <v>#REF!</v>
      </c>
      <c r="AR37" s="3"/>
    </row>
    <row r="38" spans="1:44" s="218" customFormat="1" ht="15">
      <c r="A38" s="878" t="s">
        <v>602</v>
      </c>
      <c r="B38" s="878"/>
      <c r="C38" s="878"/>
      <c r="D38" s="878"/>
      <c r="E38" s="878"/>
      <c r="F38" s="878"/>
      <c r="G38" s="878"/>
      <c r="H38" s="878"/>
      <c r="I38" s="878"/>
      <c r="J38" s="878"/>
      <c r="K38" s="878"/>
      <c r="L38" s="878"/>
      <c r="M38" s="878"/>
      <c r="N38" s="878"/>
      <c r="O38" s="3"/>
      <c r="P38" s="3"/>
      <c r="Q38" s="3"/>
      <c r="R38" s="3"/>
      <c r="S38" s="3"/>
      <c r="T38" s="3"/>
      <c r="U38" s="7"/>
      <c r="V38" s="3"/>
      <c r="W38" s="8"/>
      <c r="X38" s="8"/>
      <c r="Y38" s="8"/>
      <c r="Z38" s="8"/>
      <c r="AA38" s="8"/>
      <c r="AB38" s="8"/>
      <c r="AC38" s="8"/>
      <c r="AD38" s="8"/>
      <c r="AE38" s="8"/>
      <c r="AF38" s="8"/>
      <c r="AG38" s="8"/>
      <c r="AH38" s="8"/>
      <c r="AI38" s="8"/>
      <c r="AJ38" s="8"/>
      <c r="AK38" s="8"/>
      <c r="AL38" s="8"/>
      <c r="AM38" s="8"/>
      <c r="AN38" s="8"/>
      <c r="AO38" s="8"/>
      <c r="AP38" s="8"/>
      <c r="AQ38" s="3"/>
      <c r="AR38" s="3"/>
    </row>
    <row r="39" spans="1:44" s="218" customFormat="1" ht="45">
      <c r="A39" s="316" t="s">
        <v>593</v>
      </c>
      <c r="B39" s="316" t="s">
        <v>594</v>
      </c>
      <c r="C39" s="316" t="s">
        <v>589</v>
      </c>
      <c r="D39" s="316" t="s">
        <v>595</v>
      </c>
      <c r="E39" s="316" t="s">
        <v>589</v>
      </c>
      <c r="F39" s="316" t="s">
        <v>596</v>
      </c>
      <c r="G39" s="316" t="s">
        <v>589</v>
      </c>
      <c r="H39" s="316" t="s">
        <v>597</v>
      </c>
      <c r="I39" s="317"/>
      <c r="J39" s="317"/>
      <c r="K39" s="317"/>
      <c r="L39" s="317"/>
      <c r="M39" s="316" t="s">
        <v>597</v>
      </c>
      <c r="N39" s="316" t="s">
        <v>589</v>
      </c>
      <c r="O39" s="3"/>
      <c r="P39" s="3"/>
      <c r="Q39" s="3"/>
      <c r="R39" s="3"/>
      <c r="S39" s="3"/>
      <c r="T39" s="3"/>
      <c r="U39" s="178" t="e">
        <f>#REF!-U32</f>
        <v>#REF!</v>
      </c>
      <c r="V39" s="3"/>
      <c r="W39" s="8"/>
      <c r="X39" s="8"/>
      <c r="Y39" s="8"/>
      <c r="Z39" s="8"/>
      <c r="AA39" s="8"/>
      <c r="AB39" s="8"/>
      <c r="AC39" s="8"/>
      <c r="AD39" s="8"/>
      <c r="AE39" s="8"/>
      <c r="AF39" s="8"/>
      <c r="AG39" s="8"/>
      <c r="AH39" s="8"/>
      <c r="AI39" s="8"/>
      <c r="AJ39" s="8"/>
      <c r="AK39" s="8"/>
      <c r="AL39" s="8"/>
      <c r="AM39" s="8"/>
      <c r="AN39" s="8"/>
      <c r="AO39" s="8"/>
      <c r="AP39" s="8"/>
      <c r="AQ39" s="3"/>
      <c r="AR39" s="3"/>
    </row>
    <row r="40" spans="1:44" s="218" customFormat="1">
      <c r="A40" s="309">
        <f>X18</f>
        <v>178665784.3152</v>
      </c>
      <c r="B40" s="309">
        <f>AC18</f>
        <v>33897654</v>
      </c>
      <c r="C40" s="315">
        <f>A40*B40/100</f>
        <v>60563509383552.773</v>
      </c>
      <c r="D40" s="309">
        <f>AD18</f>
        <v>33897654</v>
      </c>
      <c r="E40" s="314">
        <f>A40*D40/100</f>
        <v>60563509383552.773</v>
      </c>
      <c r="F40" s="309">
        <f>AE18</f>
        <v>0</v>
      </c>
      <c r="G40" s="314">
        <f>A40*F40/100</f>
        <v>0</v>
      </c>
      <c r="H40" s="309">
        <f>AF18</f>
        <v>0</v>
      </c>
      <c r="I40" s="304"/>
      <c r="J40" s="304"/>
      <c r="K40" s="304"/>
      <c r="L40" s="304"/>
      <c r="M40" s="325">
        <f>AE20</f>
        <v>0</v>
      </c>
      <c r="N40" s="314">
        <f>A40*H40/100</f>
        <v>0</v>
      </c>
      <c r="O40" s="3"/>
      <c r="P40" s="3"/>
      <c r="Q40" s="3"/>
      <c r="R40" s="3"/>
      <c r="S40" s="3"/>
      <c r="T40" s="3"/>
      <c r="U40" s="7"/>
      <c r="V40" s="3"/>
      <c r="W40" s="8"/>
      <c r="X40" s="8"/>
      <c r="Y40" s="8"/>
      <c r="Z40" s="8"/>
      <c r="AA40" s="8"/>
      <c r="AB40" s="8"/>
      <c r="AC40" s="8"/>
      <c r="AD40" s="8"/>
      <c r="AE40" s="8"/>
      <c r="AF40" s="8"/>
      <c r="AG40" s="8"/>
      <c r="AH40" s="8"/>
      <c r="AI40" s="8"/>
      <c r="AJ40" s="8"/>
      <c r="AK40" s="8"/>
      <c r="AL40" s="8"/>
      <c r="AM40" s="8"/>
      <c r="AN40" s="8"/>
      <c r="AO40" s="8"/>
      <c r="AP40" s="8"/>
      <c r="AQ40" s="3"/>
      <c r="AR40" s="3"/>
    </row>
    <row r="41" spans="1:44" s="218" customFormat="1">
      <c r="A41" s="303"/>
      <c r="B41" s="303"/>
      <c r="C41" s="303"/>
      <c r="D41" s="303"/>
      <c r="E41" s="303"/>
      <c r="F41" s="303"/>
      <c r="G41" s="303"/>
      <c r="H41" s="303"/>
      <c r="I41" s="304"/>
      <c r="J41" s="304"/>
      <c r="K41" s="304"/>
      <c r="L41" s="304"/>
      <c r="M41" s="305"/>
      <c r="N41" s="303"/>
      <c r="O41" s="3"/>
      <c r="P41" s="3"/>
      <c r="Q41" s="3"/>
      <c r="R41" s="3"/>
      <c r="S41" s="3"/>
      <c r="T41" s="3"/>
      <c r="U41" s="7"/>
      <c r="V41" s="3"/>
      <c r="W41" s="8"/>
      <c r="X41" s="8"/>
      <c r="Y41" s="8"/>
      <c r="Z41" s="8"/>
      <c r="AA41" s="8"/>
      <c r="AB41" s="8"/>
      <c r="AC41" s="8"/>
      <c r="AD41" s="8"/>
      <c r="AE41" s="8"/>
      <c r="AF41" s="8"/>
      <c r="AG41" s="8"/>
      <c r="AH41" s="8"/>
      <c r="AI41" s="8"/>
      <c r="AJ41" s="8"/>
      <c r="AK41" s="8"/>
      <c r="AL41" s="8"/>
      <c r="AM41" s="8"/>
      <c r="AN41" s="8"/>
      <c r="AO41" s="8"/>
      <c r="AP41" s="8"/>
      <c r="AQ41" s="3"/>
      <c r="AR41" s="3"/>
    </row>
    <row r="42" spans="1:44" s="218" customFormat="1">
      <c r="A42" s="3"/>
      <c r="B42" s="3"/>
      <c r="C42" s="3"/>
      <c r="D42" s="3"/>
      <c r="E42" s="3"/>
      <c r="F42" s="3"/>
      <c r="G42" s="3"/>
      <c r="H42" s="3"/>
      <c r="M42" s="5"/>
      <c r="N42" s="3"/>
      <c r="O42" s="3"/>
      <c r="P42" s="3"/>
      <c r="Q42" s="3"/>
      <c r="R42" s="3"/>
      <c r="S42" s="3"/>
      <c r="T42" s="3"/>
      <c r="U42" s="7"/>
      <c r="V42" s="3"/>
      <c r="W42" s="8"/>
      <c r="X42" s="8"/>
      <c r="Y42" s="8"/>
      <c r="Z42" s="8"/>
      <c r="AA42" s="8"/>
      <c r="AB42" s="8"/>
      <c r="AC42" s="8"/>
      <c r="AD42" s="8"/>
      <c r="AE42" s="8"/>
      <c r="AF42" s="8"/>
      <c r="AG42" s="8"/>
      <c r="AH42" s="8"/>
      <c r="AI42" s="8"/>
      <c r="AJ42" s="8"/>
      <c r="AK42" s="8"/>
      <c r="AL42" s="8"/>
      <c r="AM42" s="8"/>
      <c r="AN42" s="8"/>
      <c r="AO42" s="8"/>
      <c r="AP42" s="8"/>
      <c r="AQ42" s="3"/>
      <c r="AR42" s="3"/>
    </row>
    <row r="43" spans="1:44" s="218" customFormat="1" ht="15">
      <c r="A43" s="877" t="s">
        <v>603</v>
      </c>
      <c r="B43" s="877"/>
      <c r="C43" s="877"/>
      <c r="D43" s="877"/>
      <c r="E43" s="877"/>
      <c r="F43" s="877"/>
      <c r="G43" s="877"/>
      <c r="H43" s="877"/>
      <c r="I43" s="877"/>
      <c r="J43" s="877"/>
      <c r="K43" s="877"/>
      <c r="L43" s="877"/>
      <c r="M43" s="877"/>
      <c r="N43" s="877"/>
      <c r="O43" s="877"/>
      <c r="P43" s="3"/>
      <c r="Q43" s="3"/>
      <c r="R43" s="3"/>
      <c r="S43" s="3"/>
      <c r="T43" s="3"/>
      <c r="U43" s="7"/>
      <c r="V43" s="3"/>
      <c r="W43" s="8"/>
      <c r="X43" s="8"/>
      <c r="Y43" s="8"/>
      <c r="Z43" s="8"/>
      <c r="AA43" s="8"/>
      <c r="AB43" s="8"/>
      <c r="AC43" s="8"/>
      <c r="AD43" s="8"/>
      <c r="AE43" s="8"/>
      <c r="AF43" s="8"/>
      <c r="AG43" s="8"/>
      <c r="AH43" s="8"/>
      <c r="AI43" s="8"/>
      <c r="AJ43" s="8"/>
      <c r="AK43" s="8"/>
      <c r="AL43" s="8"/>
      <c r="AM43" s="8"/>
      <c r="AN43" s="8"/>
      <c r="AO43" s="8"/>
      <c r="AP43" s="8"/>
      <c r="AQ43" s="3"/>
      <c r="AR43" s="3"/>
    </row>
    <row r="44" spans="1:44" s="218" customFormat="1" ht="60">
      <c r="A44" s="318" t="s">
        <v>598</v>
      </c>
      <c r="B44" s="319" t="s">
        <v>587</v>
      </c>
      <c r="C44" s="319" t="s">
        <v>588</v>
      </c>
      <c r="D44" s="319" t="s">
        <v>589</v>
      </c>
      <c r="E44" s="319" t="s">
        <v>590</v>
      </c>
      <c r="F44" s="319" t="s">
        <v>589</v>
      </c>
      <c r="G44" s="319" t="s">
        <v>591</v>
      </c>
      <c r="H44" s="319" t="s">
        <v>589</v>
      </c>
      <c r="I44" s="319"/>
      <c r="J44" s="320"/>
      <c r="K44" s="320"/>
      <c r="L44" s="320"/>
      <c r="M44" s="319" t="s">
        <v>589</v>
      </c>
      <c r="N44" s="319" t="s">
        <v>592</v>
      </c>
      <c r="O44" s="319" t="s">
        <v>589</v>
      </c>
      <c r="P44" s="3"/>
      <c r="Q44" s="3"/>
      <c r="R44" s="3"/>
      <c r="S44" s="3"/>
      <c r="T44" s="3"/>
      <c r="U44" s="7"/>
      <c r="V44" s="3"/>
      <c r="W44" s="8"/>
      <c r="X44" s="8"/>
      <c r="Y44" s="8"/>
      <c r="Z44" s="8"/>
      <c r="AA44" s="8"/>
      <c r="AB44" s="8"/>
      <c r="AC44" s="8"/>
      <c r="AD44" s="8"/>
      <c r="AE44" s="8"/>
      <c r="AF44" s="8"/>
      <c r="AG44" s="8"/>
      <c r="AH44" s="8"/>
      <c r="AI44" s="8"/>
      <c r="AJ44" s="8"/>
      <c r="AK44" s="8"/>
      <c r="AL44" s="8"/>
      <c r="AM44" s="8"/>
      <c r="AN44" s="8"/>
      <c r="AO44" s="8"/>
      <c r="AP44" s="8"/>
      <c r="AQ44" s="3"/>
      <c r="AR44" s="3"/>
    </row>
    <row r="45" spans="1:44" s="218" customFormat="1">
      <c r="A45" s="303" t="s">
        <v>599</v>
      </c>
      <c r="B45" s="303">
        <f>O30</f>
        <v>76</v>
      </c>
      <c r="C45" s="311">
        <f>Y30</f>
        <v>0</v>
      </c>
      <c r="D45" s="314">
        <f>B45*C45/100</f>
        <v>0</v>
      </c>
      <c r="E45" s="311">
        <f>Z30</f>
        <v>0</v>
      </c>
      <c r="F45" s="314">
        <f>B45*E45/100</f>
        <v>0</v>
      </c>
      <c r="G45" s="311">
        <f>AA30</f>
        <v>0</v>
      </c>
      <c r="H45" s="314">
        <f>B45*G45/100</f>
        <v>0</v>
      </c>
      <c r="I45" s="304"/>
      <c r="J45" s="304"/>
      <c r="K45" s="304"/>
      <c r="L45" s="304"/>
      <c r="M45" s="305"/>
      <c r="N45" s="311">
        <f>AB30</f>
        <v>0</v>
      </c>
      <c r="O45" s="314">
        <f>B45*N45/100</f>
        <v>0</v>
      </c>
      <c r="P45" s="3"/>
      <c r="Q45" s="3"/>
      <c r="R45" s="3"/>
      <c r="S45" s="3"/>
      <c r="T45" s="3"/>
      <c r="U45" s="7"/>
      <c r="V45" s="3"/>
      <c r="W45" s="8"/>
      <c r="X45" s="8"/>
      <c r="Y45" s="8"/>
      <c r="Z45" s="8"/>
      <c r="AA45" s="8"/>
      <c r="AB45" s="8"/>
      <c r="AC45" s="8"/>
      <c r="AD45" s="8"/>
      <c r="AE45" s="8"/>
      <c r="AF45" s="8"/>
      <c r="AG45" s="8"/>
      <c r="AH45" s="8"/>
      <c r="AI45" s="8"/>
      <c r="AJ45" s="8"/>
      <c r="AK45" s="8"/>
      <c r="AL45" s="8"/>
      <c r="AM45" s="8"/>
      <c r="AN45" s="8"/>
      <c r="AO45" s="8"/>
      <c r="AP45" s="8"/>
      <c r="AQ45" s="3"/>
      <c r="AR45" s="3"/>
    </row>
    <row r="46" spans="1:44" s="218" customFormat="1">
      <c r="A46" s="7"/>
      <c r="B46" s="7"/>
      <c r="C46" s="7"/>
      <c r="D46" s="7"/>
      <c r="E46" s="7"/>
      <c r="F46" s="7"/>
      <c r="G46" s="7"/>
      <c r="H46" s="7"/>
      <c r="I46" s="306"/>
      <c r="J46" s="306"/>
      <c r="K46" s="306"/>
      <c r="L46" s="306"/>
      <c r="M46" s="307"/>
      <c r="N46" s="7"/>
      <c r="O46" s="3"/>
      <c r="P46" s="3"/>
      <c r="Q46" s="3"/>
      <c r="R46" s="3"/>
      <c r="S46" s="3"/>
      <c r="T46" s="3"/>
      <c r="U46" s="7"/>
      <c r="V46" s="3"/>
      <c r="W46" s="8"/>
      <c r="X46" s="8"/>
      <c r="Y46" s="8"/>
      <c r="Z46" s="8"/>
      <c r="AA46" s="8"/>
      <c r="AB46" s="8"/>
      <c r="AC46" s="8"/>
      <c r="AD46" s="8"/>
      <c r="AE46" s="8"/>
      <c r="AF46" s="8"/>
      <c r="AG46" s="8"/>
      <c r="AH46" s="8"/>
      <c r="AI46" s="8"/>
      <c r="AJ46" s="8"/>
      <c r="AK46" s="8"/>
      <c r="AL46" s="8"/>
      <c r="AM46" s="8"/>
      <c r="AN46" s="8"/>
      <c r="AO46" s="8"/>
      <c r="AP46" s="8"/>
      <c r="AQ46" s="3"/>
      <c r="AR46" s="3"/>
    </row>
    <row r="47" spans="1:44" s="218" customFormat="1" ht="15">
      <c r="A47" s="878" t="s">
        <v>604</v>
      </c>
      <c r="B47" s="878"/>
      <c r="C47" s="878"/>
      <c r="D47" s="878"/>
      <c r="E47" s="878"/>
      <c r="F47" s="878"/>
      <c r="G47" s="878"/>
      <c r="H47" s="878"/>
      <c r="I47" s="878"/>
      <c r="J47" s="878"/>
      <c r="K47" s="878"/>
      <c r="L47" s="878"/>
      <c r="M47" s="878"/>
      <c r="N47" s="878"/>
      <c r="O47" s="3"/>
      <c r="P47" s="3"/>
      <c r="Q47" s="3"/>
      <c r="R47" s="3"/>
      <c r="S47" s="3"/>
      <c r="T47" s="3"/>
      <c r="U47" s="7"/>
      <c r="V47" s="3"/>
      <c r="W47" s="8"/>
      <c r="X47" s="8"/>
      <c r="Y47" s="8"/>
      <c r="Z47" s="8"/>
      <c r="AA47" s="8"/>
      <c r="AB47" s="8"/>
      <c r="AC47" s="8"/>
      <c r="AD47" s="8"/>
      <c r="AE47" s="8"/>
      <c r="AF47" s="8"/>
      <c r="AG47" s="8"/>
      <c r="AH47" s="8"/>
      <c r="AI47" s="8"/>
      <c r="AJ47" s="8"/>
      <c r="AK47" s="8"/>
      <c r="AL47" s="8"/>
      <c r="AM47" s="8"/>
      <c r="AN47" s="8"/>
      <c r="AO47" s="8"/>
      <c r="AP47" s="8"/>
      <c r="AQ47" s="3"/>
      <c r="AR47" s="3"/>
    </row>
    <row r="48" spans="1:44" s="218" customFormat="1" ht="45">
      <c r="A48" s="316" t="s">
        <v>593</v>
      </c>
      <c r="B48" s="316" t="s">
        <v>594</v>
      </c>
      <c r="C48" s="316" t="s">
        <v>589</v>
      </c>
      <c r="D48" s="316" t="s">
        <v>595</v>
      </c>
      <c r="E48" s="316" t="s">
        <v>589</v>
      </c>
      <c r="F48" s="316" t="s">
        <v>596</v>
      </c>
      <c r="G48" s="316" t="s">
        <v>589</v>
      </c>
      <c r="H48" s="316" t="s">
        <v>597</v>
      </c>
      <c r="I48" s="317"/>
      <c r="J48" s="317"/>
      <c r="K48" s="317"/>
      <c r="L48" s="317"/>
      <c r="M48" s="316" t="s">
        <v>597</v>
      </c>
      <c r="N48" s="316" t="s">
        <v>589</v>
      </c>
      <c r="O48" s="3"/>
      <c r="P48" s="3"/>
      <c r="Q48" s="3"/>
      <c r="R48" s="3"/>
      <c r="S48" s="3"/>
      <c r="T48" s="3"/>
      <c r="U48" s="7"/>
      <c r="V48" s="3"/>
      <c r="W48" s="8"/>
      <c r="X48" s="8"/>
      <c r="Y48" s="8"/>
      <c r="Z48" s="8"/>
      <c r="AA48" s="8"/>
      <c r="AB48" s="8"/>
      <c r="AC48" s="8"/>
      <c r="AD48" s="8"/>
      <c r="AE48" s="8"/>
      <c r="AF48" s="8"/>
      <c r="AG48" s="8"/>
      <c r="AH48" s="8"/>
      <c r="AI48" s="8"/>
      <c r="AJ48" s="8"/>
      <c r="AK48" s="8"/>
      <c r="AL48" s="8"/>
      <c r="AM48" s="8"/>
      <c r="AN48" s="8"/>
      <c r="AO48" s="8"/>
      <c r="AP48" s="8"/>
      <c r="AQ48" s="3"/>
      <c r="AR48" s="3"/>
    </row>
    <row r="49" spans="1:44" s="218" customFormat="1" ht="15">
      <c r="A49" s="321">
        <f>X30</f>
        <v>144000000.00000021</v>
      </c>
      <c r="B49" s="321">
        <f>AC30</f>
        <v>33000000</v>
      </c>
      <c r="C49" s="363">
        <f>A49*B49/100</f>
        <v>47520000000000.07</v>
      </c>
      <c r="D49" s="309">
        <f>AD30</f>
        <v>33000000</v>
      </c>
      <c r="E49" s="364">
        <f>A49*D49/100</f>
        <v>47520000000000.07</v>
      </c>
      <c r="F49" s="309">
        <f>AE30</f>
        <v>0</v>
      </c>
      <c r="G49" s="364">
        <f>A49*F49/100</f>
        <v>0</v>
      </c>
      <c r="H49" s="309">
        <f>AF30</f>
        <v>0</v>
      </c>
      <c r="I49" s="322"/>
      <c r="J49" s="322"/>
      <c r="K49" s="322"/>
      <c r="L49" s="322"/>
      <c r="M49" s="326">
        <f>AE26</f>
        <v>0</v>
      </c>
      <c r="N49" s="364">
        <f>A49*H49/100</f>
        <v>0</v>
      </c>
      <c r="O49" s="3"/>
      <c r="P49" s="3"/>
      <c r="Q49" s="3"/>
      <c r="R49" s="3"/>
      <c r="S49" s="3"/>
      <c r="T49" s="3"/>
      <c r="U49" s="7"/>
      <c r="V49" s="3"/>
      <c r="W49" s="8"/>
      <c r="X49" s="8"/>
      <c r="Y49" s="8"/>
      <c r="Z49" s="8"/>
      <c r="AA49" s="8"/>
      <c r="AB49" s="8"/>
      <c r="AC49" s="8"/>
      <c r="AD49" s="8"/>
      <c r="AE49" s="8"/>
      <c r="AF49" s="8"/>
      <c r="AG49" s="8"/>
      <c r="AH49" s="8"/>
      <c r="AI49" s="8"/>
      <c r="AJ49" s="8"/>
      <c r="AK49" s="8"/>
      <c r="AL49" s="8"/>
      <c r="AM49" s="8"/>
      <c r="AN49" s="8"/>
      <c r="AO49" s="8"/>
      <c r="AP49" s="8"/>
      <c r="AQ49" s="3"/>
      <c r="AR49" s="3"/>
    </row>
    <row r="50" spans="1:44" s="218" customFormat="1">
      <c r="A50" s="303"/>
      <c r="B50" s="303"/>
      <c r="C50" s="303"/>
      <c r="D50" s="303"/>
      <c r="E50" s="303"/>
      <c r="F50" s="303"/>
      <c r="G50" s="303"/>
      <c r="H50" s="303"/>
      <c r="I50" s="304"/>
      <c r="J50" s="304"/>
      <c r="K50" s="304"/>
      <c r="L50" s="304"/>
      <c r="M50" s="305"/>
      <c r="N50" s="303"/>
      <c r="O50" s="3"/>
      <c r="P50" s="3"/>
      <c r="Q50" s="3"/>
      <c r="R50" s="3"/>
      <c r="S50" s="3"/>
      <c r="T50" s="3"/>
      <c r="U50" s="7"/>
      <c r="V50" s="3"/>
      <c r="W50" s="8"/>
      <c r="X50" s="8"/>
      <c r="Y50" s="8"/>
      <c r="Z50" s="8"/>
      <c r="AA50" s="8"/>
      <c r="AB50" s="8"/>
      <c r="AC50" s="8"/>
      <c r="AD50" s="8"/>
      <c r="AE50" s="8"/>
      <c r="AF50" s="8"/>
      <c r="AG50" s="8"/>
      <c r="AH50" s="8"/>
      <c r="AI50" s="8"/>
      <c r="AJ50" s="8"/>
      <c r="AK50" s="8"/>
      <c r="AL50" s="8"/>
      <c r="AM50" s="8"/>
      <c r="AN50" s="8"/>
      <c r="AO50" s="8"/>
      <c r="AP50" s="8"/>
      <c r="AQ50" s="3"/>
      <c r="AR50" s="3"/>
    </row>
    <row r="51" spans="1:44" s="218" customFormat="1">
      <c r="A51" s="3"/>
      <c r="B51" s="3"/>
      <c r="C51" s="3"/>
      <c r="D51" s="3"/>
      <c r="E51" s="3"/>
      <c r="F51" s="3"/>
      <c r="G51" s="3"/>
      <c r="H51" s="3"/>
      <c r="M51" s="5"/>
      <c r="N51" s="3"/>
      <c r="O51" s="3"/>
      <c r="P51" s="3"/>
      <c r="Q51" s="3"/>
      <c r="R51" s="3"/>
      <c r="S51" s="3"/>
      <c r="T51" s="3"/>
      <c r="U51" s="7"/>
      <c r="V51" s="3"/>
      <c r="W51" s="8"/>
      <c r="X51" s="8"/>
      <c r="Y51" s="8"/>
      <c r="Z51" s="8"/>
      <c r="AA51" s="8"/>
      <c r="AB51" s="8"/>
      <c r="AC51" s="8"/>
      <c r="AD51" s="8"/>
      <c r="AE51" s="8"/>
      <c r="AF51" s="8"/>
      <c r="AG51" s="8"/>
      <c r="AH51" s="8"/>
      <c r="AI51" s="8"/>
      <c r="AJ51" s="8"/>
      <c r="AK51" s="8"/>
      <c r="AL51" s="8"/>
      <c r="AM51" s="8"/>
      <c r="AN51" s="8"/>
      <c r="AO51" s="8"/>
      <c r="AP51" s="8"/>
      <c r="AQ51" s="3"/>
      <c r="AR51" s="3"/>
    </row>
    <row r="52" spans="1:44" s="218" customFormat="1">
      <c r="A52" s="3"/>
      <c r="B52" s="3"/>
      <c r="C52" s="3"/>
      <c r="D52" s="3"/>
      <c r="E52" s="3"/>
      <c r="F52" s="3"/>
      <c r="G52" s="3"/>
      <c r="H52" s="3"/>
      <c r="I52" s="2"/>
      <c r="J52" s="2"/>
      <c r="K52" s="2"/>
      <c r="L52" s="2"/>
      <c r="M52" s="5"/>
      <c r="N52" s="3"/>
      <c r="O52" s="3"/>
      <c r="P52" s="3"/>
      <c r="Q52" s="3"/>
      <c r="R52" s="3"/>
      <c r="S52" s="3"/>
      <c r="T52" s="3"/>
      <c r="U52" s="7"/>
      <c r="V52" s="3"/>
      <c r="W52" s="8"/>
      <c r="X52" s="8"/>
      <c r="Y52" s="8"/>
      <c r="Z52" s="8"/>
      <c r="AA52" s="8"/>
      <c r="AB52" s="8"/>
      <c r="AC52" s="8"/>
      <c r="AD52" s="8"/>
      <c r="AE52" s="8"/>
      <c r="AF52" s="8"/>
      <c r="AG52" s="8"/>
      <c r="AH52" s="8"/>
      <c r="AI52" s="8"/>
      <c r="AJ52" s="8"/>
      <c r="AK52" s="8"/>
      <c r="AL52" s="8"/>
      <c r="AM52" s="8"/>
      <c r="AN52" s="8"/>
      <c r="AO52" s="8"/>
      <c r="AP52" s="8"/>
      <c r="AQ52" s="3"/>
      <c r="AR52" s="3"/>
    </row>
    <row r="53" spans="1:44" s="218" customFormat="1" ht="15">
      <c r="A53" s="877" t="s">
        <v>631</v>
      </c>
      <c r="B53" s="877"/>
      <c r="C53" s="877"/>
      <c r="D53" s="877"/>
      <c r="E53" s="877"/>
      <c r="F53" s="877"/>
      <c r="G53" s="877"/>
      <c r="H53" s="877"/>
      <c r="I53" s="877"/>
      <c r="J53" s="877"/>
      <c r="K53" s="877"/>
      <c r="L53" s="877"/>
      <c r="M53" s="877"/>
      <c r="N53" s="877"/>
      <c r="O53" s="877"/>
      <c r="P53" s="3"/>
      <c r="Q53" s="3"/>
      <c r="R53" s="3"/>
      <c r="S53" s="3"/>
      <c r="T53" s="3"/>
      <c r="U53" s="7"/>
      <c r="V53" s="3"/>
      <c r="W53" s="8"/>
      <c r="X53" s="8"/>
      <c r="Y53" s="8"/>
      <c r="Z53" s="8"/>
      <c r="AA53" s="8"/>
      <c r="AB53" s="8"/>
      <c r="AC53" s="8"/>
      <c r="AD53" s="8"/>
      <c r="AE53" s="8"/>
      <c r="AF53" s="8"/>
      <c r="AG53" s="8"/>
      <c r="AH53" s="8"/>
      <c r="AI53" s="8"/>
      <c r="AJ53" s="8"/>
      <c r="AK53" s="8"/>
      <c r="AL53" s="8"/>
      <c r="AM53" s="8"/>
      <c r="AN53" s="8"/>
      <c r="AO53" s="8"/>
      <c r="AP53" s="8"/>
      <c r="AQ53" s="3"/>
      <c r="AR53" s="3"/>
    </row>
    <row r="54" spans="1:44" ht="60">
      <c r="A54" s="318" t="s">
        <v>598</v>
      </c>
      <c r="B54" s="319" t="s">
        <v>587</v>
      </c>
      <c r="C54" s="319" t="s">
        <v>588</v>
      </c>
      <c r="D54" s="319" t="s">
        <v>589</v>
      </c>
      <c r="E54" s="319" t="s">
        <v>590</v>
      </c>
      <c r="F54" s="319" t="s">
        <v>589</v>
      </c>
      <c r="G54" s="319" t="s">
        <v>591</v>
      </c>
      <c r="H54" s="319" t="s">
        <v>589</v>
      </c>
      <c r="I54" s="319"/>
      <c r="J54" s="320"/>
      <c r="K54" s="320"/>
      <c r="L54" s="320"/>
      <c r="M54" s="320"/>
      <c r="N54" s="319" t="s">
        <v>592</v>
      </c>
      <c r="O54" s="319" t="s">
        <v>589</v>
      </c>
    </row>
    <row r="55" spans="1:44">
      <c r="A55" s="303" t="s">
        <v>599</v>
      </c>
      <c r="B55" s="303">
        <f>B45+B36</f>
        <v>138</v>
      </c>
      <c r="C55" s="311">
        <f>C45+C36</f>
        <v>0</v>
      </c>
      <c r="D55" s="314">
        <f>B55*C55/100</f>
        <v>0</v>
      </c>
      <c r="E55" s="303">
        <f>E45+E36</f>
        <v>0</v>
      </c>
      <c r="F55" s="314">
        <f>B55*E55/100</f>
        <v>0</v>
      </c>
      <c r="G55" s="303">
        <f>G45+G36</f>
        <v>0</v>
      </c>
      <c r="H55" s="314">
        <f>B55*G55/100</f>
        <v>0</v>
      </c>
      <c r="I55" s="304"/>
      <c r="J55" s="304"/>
      <c r="K55" s="304"/>
      <c r="L55" s="304"/>
      <c r="M55" s="305"/>
      <c r="N55" s="303">
        <f>N45+N36</f>
        <v>0</v>
      </c>
      <c r="O55" s="314">
        <f>B55*N55/100</f>
        <v>0</v>
      </c>
    </row>
    <row r="56" spans="1:44">
      <c r="A56" s="7"/>
      <c r="B56" s="7"/>
      <c r="C56" s="7"/>
      <c r="D56" s="7"/>
      <c r="E56" s="7"/>
      <c r="F56" s="7"/>
      <c r="G56" s="7"/>
      <c r="H56" s="7"/>
      <c r="I56" s="306"/>
      <c r="J56" s="306"/>
      <c r="K56" s="306"/>
      <c r="L56" s="306"/>
      <c r="M56" s="307"/>
      <c r="N56" s="7"/>
    </row>
    <row r="57" spans="1:44" ht="15">
      <c r="A57" s="878" t="s">
        <v>630</v>
      </c>
      <c r="B57" s="878"/>
      <c r="C57" s="878"/>
      <c r="D57" s="878"/>
      <c r="E57" s="878"/>
      <c r="F57" s="878"/>
      <c r="G57" s="878"/>
      <c r="H57" s="878"/>
      <c r="I57" s="878"/>
      <c r="J57" s="878"/>
      <c r="K57" s="878"/>
      <c r="L57" s="878"/>
      <c r="M57" s="878"/>
      <c r="N57" s="878"/>
    </row>
    <row r="58" spans="1:44" ht="45">
      <c r="A58" s="316" t="s">
        <v>593</v>
      </c>
      <c r="B58" s="316" t="s">
        <v>594</v>
      </c>
      <c r="C58" s="316" t="s">
        <v>589</v>
      </c>
      <c r="D58" s="316" t="s">
        <v>595</v>
      </c>
      <c r="E58" s="316" t="s">
        <v>589</v>
      </c>
      <c r="F58" s="316" t="s">
        <v>596</v>
      </c>
      <c r="G58" s="316" t="s">
        <v>589</v>
      </c>
      <c r="H58" s="316" t="s">
        <v>597</v>
      </c>
      <c r="I58" s="317"/>
      <c r="J58" s="317"/>
      <c r="K58" s="317"/>
      <c r="L58" s="317"/>
      <c r="M58" s="316" t="s">
        <v>597</v>
      </c>
      <c r="N58" s="316" t="s">
        <v>589</v>
      </c>
    </row>
    <row r="59" spans="1:44">
      <c r="A59" s="309">
        <f>A49+A40</f>
        <v>322665784.31520021</v>
      </c>
      <c r="B59" s="309">
        <f>B49+B40</f>
        <v>66897654</v>
      </c>
      <c r="C59" s="312">
        <f>A59*B59/100</f>
        <v>215855839967568.91</v>
      </c>
      <c r="D59" s="309">
        <f>D49+D40</f>
        <v>66897654</v>
      </c>
      <c r="E59" s="314">
        <f>A59*D59/100</f>
        <v>215855839967568.91</v>
      </c>
      <c r="F59" s="309">
        <f>F49+F40</f>
        <v>0</v>
      </c>
      <c r="G59" s="314">
        <f>A59*F59/100</f>
        <v>0</v>
      </c>
      <c r="H59" s="309">
        <f>H49+H40</f>
        <v>0</v>
      </c>
      <c r="I59" s="304"/>
      <c r="J59" s="304"/>
      <c r="K59" s="304"/>
      <c r="L59" s="304"/>
      <c r="M59" s="325" t="e">
        <f>#REF!+M49+M40</f>
        <v>#REF!</v>
      </c>
      <c r="N59" s="314">
        <f>A59*H59/100</f>
        <v>0</v>
      </c>
    </row>
    <row r="60" spans="1:44">
      <c r="A60" s="303"/>
      <c r="B60" s="303"/>
      <c r="C60" s="303"/>
      <c r="D60" s="303"/>
      <c r="E60" s="303"/>
      <c r="F60" s="303"/>
      <c r="G60" s="303"/>
      <c r="H60" s="303"/>
      <c r="I60" s="304"/>
      <c r="J60" s="304"/>
      <c r="K60" s="304"/>
      <c r="L60" s="304"/>
      <c r="M60" s="305"/>
      <c r="N60" s="303"/>
    </row>
    <row r="61" spans="1:44">
      <c r="I61" s="2"/>
      <c r="M61" s="5"/>
      <c r="N61" s="3"/>
    </row>
    <row r="62" spans="1:44">
      <c r="A62" s="5"/>
      <c r="H62" s="7"/>
      <c r="J62" s="8"/>
      <c r="K62" s="8"/>
      <c r="L62" s="8"/>
      <c r="M62" s="8"/>
      <c r="N62" s="8"/>
      <c r="O62" s="8"/>
    </row>
    <row r="63" spans="1:44">
      <c r="A63" s="5"/>
      <c r="H63" s="7"/>
      <c r="J63" s="8"/>
      <c r="K63" s="8"/>
      <c r="L63" s="8"/>
      <c r="M63" s="8"/>
      <c r="N63" s="8"/>
      <c r="O63" s="8"/>
    </row>
    <row r="64" spans="1:44">
      <c r="A64" s="5"/>
      <c r="H64" s="7"/>
      <c r="J64" s="8"/>
      <c r="K64" s="8"/>
      <c r="L64" s="8"/>
      <c r="M64" s="8"/>
      <c r="N64" s="8"/>
      <c r="O64" s="8"/>
    </row>
  </sheetData>
  <mergeCells count="92">
    <mergeCell ref="A53:O53"/>
    <mergeCell ref="A57:N57"/>
    <mergeCell ref="A4:AR4"/>
    <mergeCell ref="A18:N18"/>
    <mergeCell ref="A30:N30"/>
    <mergeCell ref="A34:O34"/>
    <mergeCell ref="A38:N38"/>
    <mergeCell ref="A43:O43"/>
    <mergeCell ref="A47:N47"/>
    <mergeCell ref="U25:U27"/>
    <mergeCell ref="V25:V27"/>
    <mergeCell ref="W25:W27"/>
    <mergeCell ref="X25:X27"/>
    <mergeCell ref="G22:G29"/>
    <mergeCell ref="H22:H29"/>
    <mergeCell ref="I22:I29"/>
    <mergeCell ref="D14:D17"/>
    <mergeCell ref="E14:E17"/>
    <mergeCell ref="F14:F17"/>
    <mergeCell ref="L14:L15"/>
    <mergeCell ref="AS19:AS29"/>
    <mergeCell ref="M20:M21"/>
    <mergeCell ref="U20:U21"/>
    <mergeCell ref="V20:V21"/>
    <mergeCell ref="W20:W21"/>
    <mergeCell ref="U22:U23"/>
    <mergeCell ref="V22:V23"/>
    <mergeCell ref="W22:W23"/>
    <mergeCell ref="X22:X23"/>
    <mergeCell ref="M22:M23"/>
    <mergeCell ref="M25:M27"/>
    <mergeCell ref="J22:J29"/>
    <mergeCell ref="A19:A29"/>
    <mergeCell ref="B19:B29"/>
    <mergeCell ref="G19:G21"/>
    <mergeCell ref="H19:H21"/>
    <mergeCell ref="I19:I21"/>
    <mergeCell ref="C21:C29"/>
    <mergeCell ref="D21:D29"/>
    <mergeCell ref="E21:E29"/>
    <mergeCell ref="F21:F29"/>
    <mergeCell ref="K22:K29"/>
    <mergeCell ref="K19:K21"/>
    <mergeCell ref="AS8:AS17"/>
    <mergeCell ref="I11:I12"/>
    <mergeCell ref="J11:J12"/>
    <mergeCell ref="K11:K12"/>
    <mergeCell ref="K16:K17"/>
    <mergeCell ref="L16:L17"/>
    <mergeCell ref="M16:M17"/>
    <mergeCell ref="K8:K9"/>
    <mergeCell ref="M14:M15"/>
    <mergeCell ref="I16:I17"/>
    <mergeCell ref="J16:J17"/>
    <mergeCell ref="J19:J21"/>
    <mergeCell ref="AQ6:AQ7"/>
    <mergeCell ref="A8:A17"/>
    <mergeCell ref="B8:B17"/>
    <mergeCell ref="C8:C13"/>
    <mergeCell ref="D8:D13"/>
    <mergeCell ref="E8:E13"/>
    <mergeCell ref="F8:F13"/>
    <mergeCell ref="G8:G15"/>
    <mergeCell ref="H8:H10"/>
    <mergeCell ref="I8:I10"/>
    <mergeCell ref="J8:J10"/>
    <mergeCell ref="L8:L13"/>
    <mergeCell ref="M8:M13"/>
    <mergeCell ref="G16:G17"/>
    <mergeCell ref="H16:H17"/>
    <mergeCell ref="C14:C17"/>
    <mergeCell ref="R6:R7"/>
    <mergeCell ref="S6:S7"/>
    <mergeCell ref="T6:T7"/>
    <mergeCell ref="U6:X6"/>
    <mergeCell ref="Y6:AE6"/>
    <mergeCell ref="A1:AR1"/>
    <mergeCell ref="AT1:AX1"/>
    <mergeCell ref="A2:AR2"/>
    <mergeCell ref="B3:AR3"/>
    <mergeCell ref="H11:H12"/>
    <mergeCell ref="A5:AR5"/>
    <mergeCell ref="A6:B6"/>
    <mergeCell ref="C6:F6"/>
    <mergeCell ref="H6:K6"/>
    <mergeCell ref="L6:L7"/>
    <mergeCell ref="M6:M7"/>
    <mergeCell ref="N6:N7"/>
    <mergeCell ref="O6:O7"/>
    <mergeCell ref="P6:P7"/>
    <mergeCell ref="Q6:Q7"/>
    <mergeCell ref="AR6:AR7"/>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AFCEA-D794-4C74-ABA0-BBF938EFE1CC}">
  <dimension ref="A1:AZ49"/>
  <sheetViews>
    <sheetView topLeftCell="A10" zoomScale="60" zoomScaleNormal="60" workbookViewId="0">
      <selection activeCell="A44" sqref="A44"/>
    </sheetView>
  </sheetViews>
  <sheetFormatPr baseColWidth="10" defaultColWidth="11.42578125" defaultRowHeight="14.25"/>
  <cols>
    <col min="1" max="1" width="26.42578125" style="3" customWidth="1"/>
    <col min="2" max="2" width="28.42578125" style="3" customWidth="1"/>
    <col min="3" max="3" width="24" style="3" customWidth="1"/>
    <col min="4" max="4" width="30.42578125" style="3" customWidth="1"/>
    <col min="5" max="5" width="24.42578125" style="3" customWidth="1"/>
    <col min="6" max="6" width="18.42578125" style="3" customWidth="1"/>
    <col min="7" max="7" width="20.28515625" style="3" customWidth="1"/>
    <col min="8" max="8" width="37.42578125" style="3" customWidth="1"/>
    <col min="9" max="9" width="15" style="3" hidden="1" customWidth="1"/>
    <col min="10" max="11" width="12.7109375" style="2" hidden="1" customWidth="1"/>
    <col min="12" max="12" width="38.42578125" style="2" hidden="1" customWidth="1"/>
    <col min="13" max="13" width="57.42578125" style="2" hidden="1" customWidth="1"/>
    <col min="14" max="14" width="38.140625" style="5" customWidth="1"/>
    <col min="15" max="16" width="15" style="3" customWidth="1"/>
    <col min="17" max="17" width="16.28515625" style="3" customWidth="1"/>
    <col min="18" max="18" width="16.7109375" style="3" customWidth="1"/>
    <col min="19" max="19" width="16.85546875" style="3" customWidth="1"/>
    <col min="20" max="20" width="18" style="3" customWidth="1"/>
    <col min="21" max="21" width="20.140625" style="7" customWidth="1"/>
    <col min="22" max="22" width="21.42578125" style="3" customWidth="1"/>
    <col min="23" max="23" width="27.7109375" style="8" customWidth="1"/>
    <col min="24" max="24" width="25.42578125" style="8" bestFit="1" customWidth="1"/>
    <col min="25" max="34" width="25.42578125" style="8" customWidth="1"/>
    <col min="35" max="37" width="34.28515625" style="8" customWidth="1"/>
    <col min="38" max="42" width="43.85546875" style="8" customWidth="1"/>
    <col min="43" max="43" width="20" style="3" customWidth="1"/>
    <col min="44" max="44" width="20.140625" style="3" customWidth="1"/>
    <col min="45" max="45" width="30.28515625" style="2" hidden="1" customWidth="1"/>
    <col min="46" max="47" width="17.42578125" style="2" customWidth="1"/>
    <col min="48" max="48" width="21.140625" style="2" customWidth="1"/>
    <col min="49" max="49" width="16.7109375" style="2" customWidth="1"/>
    <col min="50" max="50" width="20.140625" style="2" customWidth="1"/>
    <col min="51" max="16384" width="11.42578125" style="2"/>
  </cols>
  <sheetData>
    <row r="1" spans="1:52" s="218" customFormat="1" ht="30.75" customHeight="1" thickTop="1" thickBot="1">
      <c r="A1" s="807" t="s">
        <v>585</v>
      </c>
      <c r="B1" s="807"/>
      <c r="C1" s="807"/>
      <c r="D1" s="807"/>
      <c r="E1" s="807"/>
      <c r="F1" s="807"/>
      <c r="G1" s="807"/>
      <c r="H1" s="807"/>
      <c r="I1" s="807"/>
      <c r="J1" s="807"/>
      <c r="K1" s="807"/>
      <c r="L1" s="807"/>
      <c r="M1" s="807"/>
      <c r="N1" s="807"/>
      <c r="O1" s="807"/>
      <c r="P1" s="807"/>
      <c r="Q1" s="807"/>
      <c r="R1" s="807"/>
      <c r="S1" s="807"/>
      <c r="T1" s="807"/>
      <c r="U1" s="807"/>
      <c r="V1" s="807"/>
      <c r="W1" s="807"/>
      <c r="X1" s="807"/>
      <c r="Y1" s="807"/>
      <c r="Z1" s="807"/>
      <c r="AA1" s="807"/>
      <c r="AB1" s="807"/>
      <c r="AC1" s="807"/>
      <c r="AD1" s="807"/>
      <c r="AE1" s="807"/>
      <c r="AF1" s="807"/>
      <c r="AG1" s="807"/>
      <c r="AH1" s="807"/>
      <c r="AI1" s="807"/>
      <c r="AJ1" s="807"/>
      <c r="AK1" s="807"/>
      <c r="AL1" s="807"/>
      <c r="AM1" s="807"/>
      <c r="AN1" s="807"/>
      <c r="AO1" s="807"/>
      <c r="AP1" s="807"/>
      <c r="AQ1" s="807"/>
      <c r="AR1" s="807"/>
      <c r="AS1" s="24"/>
      <c r="AT1" s="790" t="s">
        <v>34</v>
      </c>
      <c r="AU1" s="790"/>
      <c r="AV1" s="790"/>
      <c r="AW1" s="790"/>
      <c r="AX1" s="791"/>
    </row>
    <row r="2" spans="1:52" s="218" customFormat="1" ht="27.95" customHeight="1" thickTop="1" thickBot="1">
      <c r="A2" s="774" t="s">
        <v>586</v>
      </c>
      <c r="B2" s="774"/>
      <c r="C2" s="774"/>
      <c r="D2" s="774"/>
      <c r="E2" s="774"/>
      <c r="F2" s="774"/>
      <c r="G2" s="774"/>
      <c r="H2" s="774"/>
      <c r="I2" s="774"/>
      <c r="J2" s="774"/>
      <c r="K2" s="774"/>
      <c r="L2" s="774"/>
      <c r="M2" s="774"/>
      <c r="N2" s="774"/>
      <c r="O2" s="774"/>
      <c r="P2" s="774"/>
      <c r="Q2" s="774"/>
      <c r="R2" s="774"/>
      <c r="S2" s="774"/>
      <c r="T2" s="774"/>
      <c r="U2" s="774"/>
      <c r="V2" s="774"/>
      <c r="W2" s="774"/>
      <c r="X2" s="774"/>
      <c r="Y2" s="774"/>
      <c r="Z2" s="774"/>
      <c r="AA2" s="774"/>
      <c r="AB2" s="774"/>
      <c r="AC2" s="774"/>
      <c r="AD2" s="774"/>
      <c r="AE2" s="774"/>
      <c r="AF2" s="774"/>
      <c r="AG2" s="774"/>
      <c r="AH2" s="774"/>
      <c r="AI2" s="774"/>
      <c r="AJ2" s="774"/>
      <c r="AK2" s="774"/>
      <c r="AL2" s="774"/>
      <c r="AM2" s="774"/>
      <c r="AN2" s="774"/>
      <c r="AO2" s="774"/>
      <c r="AP2" s="774"/>
      <c r="AQ2" s="774"/>
      <c r="AR2" s="774"/>
      <c r="AS2" s="24"/>
      <c r="AT2" s="294" t="s">
        <v>35</v>
      </c>
      <c r="AU2" s="22" t="s">
        <v>36</v>
      </c>
      <c r="AV2" s="18" t="s">
        <v>37</v>
      </c>
      <c r="AW2" s="18" t="s">
        <v>38</v>
      </c>
      <c r="AX2" s="18" t="s">
        <v>29</v>
      </c>
    </row>
    <row r="3" spans="1:52" s="218" customFormat="1" ht="25.5" customHeight="1" thickTop="1" thickBot="1">
      <c r="A3" s="297"/>
      <c r="B3" s="920" t="s">
        <v>615</v>
      </c>
      <c r="C3" s="921"/>
      <c r="D3" s="921"/>
      <c r="E3" s="921"/>
      <c r="F3" s="921"/>
      <c r="G3" s="921"/>
      <c r="H3" s="921"/>
      <c r="I3" s="921"/>
      <c r="J3" s="921"/>
      <c r="K3" s="921"/>
      <c r="L3" s="921"/>
      <c r="M3" s="921"/>
      <c r="N3" s="921"/>
      <c r="O3" s="921"/>
      <c r="P3" s="921"/>
      <c r="Q3" s="921"/>
      <c r="R3" s="921"/>
      <c r="S3" s="921"/>
      <c r="T3" s="921"/>
      <c r="U3" s="921"/>
      <c r="V3" s="921"/>
      <c r="W3" s="921"/>
      <c r="X3" s="921"/>
      <c r="Y3" s="921"/>
      <c r="Z3" s="921"/>
      <c r="AA3" s="921"/>
      <c r="AB3" s="921"/>
      <c r="AC3" s="921"/>
      <c r="AD3" s="921"/>
      <c r="AE3" s="921"/>
      <c r="AF3" s="921"/>
      <c r="AG3" s="921"/>
      <c r="AH3" s="921"/>
      <c r="AI3" s="921"/>
      <c r="AJ3" s="921"/>
      <c r="AK3" s="921"/>
      <c r="AL3" s="921"/>
      <c r="AM3" s="921"/>
      <c r="AN3" s="921"/>
      <c r="AO3" s="921"/>
      <c r="AP3" s="921"/>
      <c r="AQ3" s="921"/>
      <c r="AR3" s="922"/>
      <c r="AS3" s="25"/>
      <c r="AT3" s="30"/>
      <c r="AU3" s="23"/>
      <c r="AV3" s="19"/>
      <c r="AW3" s="20"/>
      <c r="AX3" s="21"/>
    </row>
    <row r="4" spans="1:52" s="218" customFormat="1" ht="27.95" customHeight="1" thickTop="1" thickBot="1">
      <c r="A4" s="923" t="s">
        <v>616</v>
      </c>
      <c r="B4" s="924"/>
      <c r="C4" s="924"/>
      <c r="D4" s="924"/>
      <c r="E4" s="924"/>
      <c r="F4" s="924"/>
      <c r="G4" s="924"/>
      <c r="H4" s="924"/>
      <c r="I4" s="924"/>
      <c r="J4" s="924"/>
      <c r="K4" s="924"/>
      <c r="L4" s="924"/>
      <c r="M4" s="924"/>
      <c r="N4" s="924"/>
      <c r="O4" s="924"/>
      <c r="P4" s="924"/>
      <c r="Q4" s="924"/>
      <c r="R4" s="924"/>
      <c r="S4" s="924"/>
      <c r="T4" s="924"/>
      <c r="U4" s="924"/>
      <c r="V4" s="924"/>
      <c r="W4" s="924"/>
      <c r="X4" s="924"/>
      <c r="Y4" s="924"/>
      <c r="Z4" s="924"/>
      <c r="AA4" s="924"/>
      <c r="AB4" s="924"/>
      <c r="AC4" s="924"/>
      <c r="AD4" s="924"/>
      <c r="AE4" s="924"/>
      <c r="AF4" s="924"/>
      <c r="AG4" s="924"/>
      <c r="AH4" s="924"/>
      <c r="AI4" s="924"/>
      <c r="AJ4" s="924"/>
      <c r="AK4" s="924"/>
      <c r="AL4" s="924"/>
      <c r="AM4" s="924"/>
      <c r="AN4" s="924"/>
      <c r="AO4" s="924"/>
      <c r="AP4" s="924"/>
      <c r="AQ4" s="924"/>
      <c r="AR4" s="925"/>
      <c r="AS4" s="25"/>
      <c r="AT4" s="30"/>
      <c r="AU4" s="23"/>
      <c r="AV4" s="19"/>
      <c r="AW4" s="20"/>
      <c r="AX4" s="21"/>
    </row>
    <row r="5" spans="1:52" s="218" customFormat="1" ht="27.95" customHeight="1" thickTop="1" thickBot="1">
      <c r="A5" s="792"/>
      <c r="B5" s="792"/>
      <c r="C5" s="792"/>
      <c r="D5" s="792"/>
      <c r="E5" s="792"/>
      <c r="F5" s="792"/>
      <c r="G5" s="792"/>
      <c r="H5" s="792"/>
      <c r="I5" s="792"/>
      <c r="J5" s="792"/>
      <c r="K5" s="792"/>
      <c r="L5" s="792"/>
      <c r="M5" s="792"/>
      <c r="N5" s="792"/>
      <c r="O5" s="792"/>
      <c r="P5" s="792"/>
      <c r="Q5" s="792"/>
      <c r="R5" s="792"/>
      <c r="S5" s="792"/>
      <c r="T5" s="792"/>
      <c r="U5" s="792"/>
      <c r="V5" s="792"/>
      <c r="W5" s="792"/>
      <c r="X5" s="792"/>
      <c r="Y5" s="792"/>
      <c r="Z5" s="792"/>
      <c r="AA5" s="792"/>
      <c r="AB5" s="792"/>
      <c r="AC5" s="792"/>
      <c r="AD5" s="792"/>
      <c r="AE5" s="792"/>
      <c r="AF5" s="792"/>
      <c r="AG5" s="792"/>
      <c r="AH5" s="792"/>
      <c r="AI5" s="792"/>
      <c r="AJ5" s="792"/>
      <c r="AK5" s="792"/>
      <c r="AL5" s="792"/>
      <c r="AM5" s="792"/>
      <c r="AN5" s="792"/>
      <c r="AO5" s="792"/>
      <c r="AP5" s="792"/>
      <c r="AQ5" s="792"/>
      <c r="AR5" s="792"/>
      <c r="AS5" s="165"/>
      <c r="AT5" s="30"/>
      <c r="AU5" s="23"/>
      <c r="AV5" s="19"/>
      <c r="AW5" s="20"/>
      <c r="AX5" s="21"/>
    </row>
    <row r="6" spans="1:52" ht="27.95" customHeight="1" thickBot="1">
      <c r="A6" s="794"/>
      <c r="B6" s="795"/>
      <c r="C6" s="796" t="s">
        <v>45</v>
      </c>
      <c r="D6" s="794"/>
      <c r="E6" s="794"/>
      <c r="F6" s="795"/>
      <c r="G6" s="31"/>
      <c r="H6" s="759" t="s">
        <v>311</v>
      </c>
      <c r="I6" s="759"/>
      <c r="J6" s="759"/>
      <c r="K6" s="759"/>
      <c r="L6" s="793" t="s">
        <v>44</v>
      </c>
      <c r="M6" s="793" t="s">
        <v>10</v>
      </c>
      <c r="N6" s="918" t="s">
        <v>1</v>
      </c>
      <c r="O6" s="763" t="s">
        <v>48</v>
      </c>
      <c r="P6" s="763" t="s">
        <v>2</v>
      </c>
      <c r="Q6" s="763" t="s">
        <v>3</v>
      </c>
      <c r="R6" s="763" t="s">
        <v>4</v>
      </c>
      <c r="S6" s="763" t="s">
        <v>5</v>
      </c>
      <c r="T6" s="763" t="s">
        <v>6</v>
      </c>
      <c r="U6" s="762" t="s">
        <v>7</v>
      </c>
      <c r="V6" s="762"/>
      <c r="W6" s="762"/>
      <c r="X6" s="762"/>
      <c r="Y6" s="804" t="s">
        <v>564</v>
      </c>
      <c r="Z6" s="805"/>
      <c r="AA6" s="805"/>
      <c r="AB6" s="805"/>
      <c r="AC6" s="805"/>
      <c r="AD6" s="805"/>
      <c r="AE6" s="806"/>
      <c r="AF6" s="289"/>
      <c r="AG6" s="289"/>
      <c r="AH6" s="289"/>
      <c r="AI6" s="289"/>
      <c r="AJ6" s="289"/>
      <c r="AK6" s="289"/>
      <c r="AL6" s="289"/>
      <c r="AM6" s="289"/>
      <c r="AN6" s="289"/>
      <c r="AO6" s="289"/>
      <c r="AP6" s="289"/>
      <c r="AQ6" s="763" t="s">
        <v>8</v>
      </c>
      <c r="AR6" s="755" t="s">
        <v>9</v>
      </c>
      <c r="AS6" s="166"/>
      <c r="AT6" s="22" t="s">
        <v>39</v>
      </c>
      <c r="AU6" s="17" t="s">
        <v>30</v>
      </c>
      <c r="AV6" s="18" t="s">
        <v>31</v>
      </c>
      <c r="AW6" s="18" t="s">
        <v>32</v>
      </c>
      <c r="AX6" s="18" t="s">
        <v>33</v>
      </c>
    </row>
    <row r="7" spans="1:52" ht="68.25" customHeight="1" thickTop="1" thickBot="1">
      <c r="A7" s="270" t="s">
        <v>42</v>
      </c>
      <c r="B7" s="270" t="s">
        <v>43</v>
      </c>
      <c r="C7" s="270" t="s">
        <v>11</v>
      </c>
      <c r="D7" s="270" t="s">
        <v>52</v>
      </c>
      <c r="E7" s="270" t="s">
        <v>12</v>
      </c>
      <c r="F7" s="270" t="s">
        <v>47</v>
      </c>
      <c r="G7" s="270" t="s">
        <v>41</v>
      </c>
      <c r="H7" s="32" t="s">
        <v>46</v>
      </c>
      <c r="I7" s="270" t="s">
        <v>52</v>
      </c>
      <c r="J7" s="270" t="s">
        <v>12</v>
      </c>
      <c r="K7" s="270" t="s">
        <v>47</v>
      </c>
      <c r="L7" s="793"/>
      <c r="M7" s="793"/>
      <c r="N7" s="919"/>
      <c r="O7" s="764"/>
      <c r="P7" s="764"/>
      <c r="Q7" s="764"/>
      <c r="R7" s="764"/>
      <c r="S7" s="764"/>
      <c r="T7" s="764"/>
      <c r="U7" s="270" t="s">
        <v>13</v>
      </c>
      <c r="V7" s="270" t="s">
        <v>14</v>
      </c>
      <c r="W7" s="4" t="s">
        <v>15</v>
      </c>
      <c r="X7" s="4" t="s">
        <v>16</v>
      </c>
      <c r="Y7" s="4" t="s">
        <v>565</v>
      </c>
      <c r="Z7" s="4" t="s">
        <v>566</v>
      </c>
      <c r="AA7" s="4" t="s">
        <v>567</v>
      </c>
      <c r="AB7" s="4" t="s">
        <v>568</v>
      </c>
      <c r="AC7" s="4" t="s">
        <v>569</v>
      </c>
      <c r="AD7" s="4" t="s">
        <v>570</v>
      </c>
      <c r="AE7" s="4" t="s">
        <v>571</v>
      </c>
      <c r="AF7" s="293" t="s">
        <v>572</v>
      </c>
      <c r="AG7" s="293" t="s">
        <v>573</v>
      </c>
      <c r="AH7" s="293" t="s">
        <v>574</v>
      </c>
      <c r="AI7" s="293" t="s">
        <v>575</v>
      </c>
      <c r="AJ7" s="293" t="s">
        <v>576</v>
      </c>
      <c r="AK7" s="293" t="s">
        <v>577</v>
      </c>
      <c r="AL7" s="293" t="s">
        <v>578</v>
      </c>
      <c r="AM7" s="293" t="s">
        <v>579</v>
      </c>
      <c r="AN7" s="293" t="s">
        <v>580</v>
      </c>
      <c r="AO7" s="293" t="s">
        <v>581</v>
      </c>
      <c r="AP7" s="293" t="s">
        <v>582</v>
      </c>
      <c r="AQ7" s="764"/>
      <c r="AR7" s="756" t="s">
        <v>9</v>
      </c>
      <c r="AS7" s="166"/>
    </row>
    <row r="8" spans="1:52" s="218" customFormat="1" ht="97.5" customHeight="1" thickBot="1">
      <c r="A8" s="706" t="s">
        <v>253</v>
      </c>
      <c r="B8" s="706" t="s">
        <v>254</v>
      </c>
      <c r="C8" s="120" t="s">
        <v>255</v>
      </c>
      <c r="D8" s="120" t="s">
        <v>17</v>
      </c>
      <c r="E8" s="120">
        <v>3</v>
      </c>
      <c r="F8" s="120">
        <v>6</v>
      </c>
      <c r="G8" s="706" t="s">
        <v>257</v>
      </c>
      <c r="H8" s="706" t="s">
        <v>258</v>
      </c>
      <c r="I8" s="706" t="s">
        <v>259</v>
      </c>
      <c r="J8" s="857">
        <v>2</v>
      </c>
      <c r="K8" s="857">
        <v>4</v>
      </c>
      <c r="L8" s="121"/>
      <c r="M8" s="706" t="s">
        <v>260</v>
      </c>
      <c r="N8" s="706" t="s">
        <v>563</v>
      </c>
      <c r="O8" s="120">
        <v>6</v>
      </c>
      <c r="P8" s="120" t="s">
        <v>259</v>
      </c>
      <c r="Q8" s="120">
        <v>1</v>
      </c>
      <c r="R8" s="120">
        <v>1</v>
      </c>
      <c r="S8" s="120">
        <v>2</v>
      </c>
      <c r="T8" s="120">
        <v>2</v>
      </c>
      <c r="U8" s="120" t="s">
        <v>377</v>
      </c>
      <c r="V8" s="122"/>
      <c r="W8" s="123">
        <v>15000000</v>
      </c>
      <c r="X8" s="123">
        <f t="shared" ref="X8:X12" si="0">W8</f>
        <v>15000000</v>
      </c>
      <c r="Y8" s="369"/>
      <c r="Z8" s="369"/>
      <c r="AA8" s="369"/>
      <c r="AB8" s="369"/>
      <c r="AC8" s="130">
        <v>0</v>
      </c>
      <c r="AD8" s="130"/>
      <c r="AE8" s="130"/>
      <c r="AF8" s="291"/>
      <c r="AG8" s="291"/>
      <c r="AH8" s="291"/>
      <c r="AI8" s="291"/>
      <c r="AJ8" s="291"/>
      <c r="AK8" s="291"/>
      <c r="AL8" s="291"/>
      <c r="AM8" s="291"/>
      <c r="AN8" s="291"/>
      <c r="AO8" s="291"/>
      <c r="AP8" s="291"/>
      <c r="AQ8" s="120" t="s">
        <v>342</v>
      </c>
      <c r="AR8" s="120" t="s">
        <v>342</v>
      </c>
      <c r="AS8" s="700" t="s">
        <v>337</v>
      </c>
    </row>
    <row r="9" spans="1:52" s="218" customFormat="1" ht="108" customHeight="1" thickBot="1">
      <c r="A9" s="708"/>
      <c r="B9" s="708"/>
      <c r="C9" s="239" t="s">
        <v>256</v>
      </c>
      <c r="D9" s="125" t="s">
        <v>17</v>
      </c>
      <c r="E9" s="125" t="s">
        <v>51</v>
      </c>
      <c r="F9" s="125">
        <v>4</v>
      </c>
      <c r="G9" s="708"/>
      <c r="H9" s="708"/>
      <c r="I9" s="708"/>
      <c r="J9" s="859"/>
      <c r="K9" s="859"/>
      <c r="L9" s="126"/>
      <c r="M9" s="708"/>
      <c r="N9" s="708"/>
      <c r="O9" s="125">
        <v>4</v>
      </c>
      <c r="P9" s="120" t="s">
        <v>259</v>
      </c>
      <c r="Q9" s="125">
        <v>1</v>
      </c>
      <c r="R9" s="125">
        <v>1</v>
      </c>
      <c r="S9" s="125">
        <v>1</v>
      </c>
      <c r="T9" s="125">
        <v>1</v>
      </c>
      <c r="U9" s="125" t="s">
        <v>377</v>
      </c>
      <c r="V9" s="129"/>
      <c r="W9" s="130">
        <v>15000000</v>
      </c>
      <c r="X9" s="123">
        <f t="shared" si="0"/>
        <v>15000000</v>
      </c>
      <c r="Y9" s="369">
        <v>0</v>
      </c>
      <c r="Z9" s="369"/>
      <c r="AA9" s="369"/>
      <c r="AB9" s="369"/>
      <c r="AC9" s="130">
        <v>0</v>
      </c>
      <c r="AD9" s="130"/>
      <c r="AE9" s="130"/>
      <c r="AF9" s="291"/>
      <c r="AG9" s="291"/>
      <c r="AH9" s="291"/>
      <c r="AI9" s="291"/>
      <c r="AJ9" s="291"/>
      <c r="AK9" s="291"/>
      <c r="AL9" s="291"/>
      <c r="AM9" s="291"/>
      <c r="AN9" s="291"/>
      <c r="AO9" s="291"/>
      <c r="AP9" s="291"/>
      <c r="AQ9" s="120" t="s">
        <v>342</v>
      </c>
      <c r="AR9" s="120" t="s">
        <v>342</v>
      </c>
      <c r="AS9" s="701"/>
      <c r="AU9" s="218">
        <v>1020100</v>
      </c>
      <c r="AW9" s="218">
        <v>89838668.807999998</v>
      </c>
      <c r="AX9" s="218">
        <f>+AW9/2</f>
        <v>44919334.403999999</v>
      </c>
      <c r="AZ9" s="218">
        <v>44919334.403999999</v>
      </c>
    </row>
    <row r="10" spans="1:52" s="218" customFormat="1" ht="108" customHeight="1" thickBot="1">
      <c r="A10" s="974" t="s">
        <v>617</v>
      </c>
      <c r="B10" s="975"/>
      <c r="C10" s="975"/>
      <c r="D10" s="975"/>
      <c r="E10" s="975"/>
      <c r="F10" s="975"/>
      <c r="G10" s="975"/>
      <c r="H10" s="975"/>
      <c r="I10" s="975"/>
      <c r="J10" s="975"/>
      <c r="K10" s="975"/>
      <c r="L10" s="975"/>
      <c r="M10" s="975"/>
      <c r="N10" s="976"/>
      <c r="O10" s="278">
        <f>SUM(O8:O9)</f>
        <v>10</v>
      </c>
      <c r="P10" s="278" t="s">
        <v>452</v>
      </c>
      <c r="Q10" s="331">
        <f t="shared" ref="Q10:T10" si="1">SUM(Q8:Q9)</f>
        <v>2</v>
      </c>
      <c r="R10" s="331">
        <f t="shared" si="1"/>
        <v>2</v>
      </c>
      <c r="S10" s="331">
        <f t="shared" si="1"/>
        <v>3</v>
      </c>
      <c r="T10" s="331">
        <f t="shared" si="1"/>
        <v>3</v>
      </c>
      <c r="U10" s="278"/>
      <c r="V10" s="282"/>
      <c r="W10" s="283">
        <f>SUM(W8:W9)</f>
        <v>30000000</v>
      </c>
      <c r="X10" s="283">
        <f>SUM(X8:X9)</f>
        <v>30000000</v>
      </c>
      <c r="Y10" s="370">
        <f>SUM(Y8:Y9)</f>
        <v>0</v>
      </c>
      <c r="Z10" s="370">
        <f t="shared" ref="Z10:AB10" si="2">SUM(Z8:Z9)</f>
        <v>0</v>
      </c>
      <c r="AA10" s="370">
        <f t="shared" si="2"/>
        <v>0</v>
      </c>
      <c r="AB10" s="370">
        <f t="shared" si="2"/>
        <v>0</v>
      </c>
      <c r="AC10" s="283">
        <f>SUM(AC8:AC9)</f>
        <v>0</v>
      </c>
      <c r="AD10" s="283">
        <f t="shared" ref="AD10:AH10" si="3">SUM(AD8:AD9)</f>
        <v>0</v>
      </c>
      <c r="AE10" s="283">
        <f t="shared" si="3"/>
        <v>0</v>
      </c>
      <c r="AF10" s="283">
        <f t="shared" si="3"/>
        <v>0</v>
      </c>
      <c r="AG10" s="283">
        <f t="shared" si="3"/>
        <v>0</v>
      </c>
      <c r="AH10" s="283">
        <f t="shared" si="3"/>
        <v>0</v>
      </c>
      <c r="AI10" s="346"/>
      <c r="AJ10" s="346"/>
      <c r="AK10" s="346"/>
      <c r="AL10" s="346"/>
      <c r="AM10" s="346"/>
      <c r="AN10" s="346"/>
      <c r="AO10" s="346"/>
      <c r="AP10" s="346"/>
      <c r="AQ10" s="336"/>
      <c r="AR10" s="336"/>
      <c r="AS10" s="701"/>
    </row>
    <row r="11" spans="1:52" s="218" customFormat="1" ht="143.25" customHeight="1" thickBot="1">
      <c r="A11" s="704" t="s">
        <v>319</v>
      </c>
      <c r="B11" s="704" t="s">
        <v>261</v>
      </c>
      <c r="C11" s="704" t="s">
        <v>262</v>
      </c>
      <c r="D11" s="704" t="s">
        <v>18</v>
      </c>
      <c r="E11" s="704" t="s">
        <v>51</v>
      </c>
      <c r="F11" s="704">
        <v>15</v>
      </c>
      <c r="G11" s="704" t="s">
        <v>263</v>
      </c>
      <c r="H11" s="131" t="s">
        <v>264</v>
      </c>
      <c r="I11" s="131" t="s">
        <v>17</v>
      </c>
      <c r="J11" s="128">
        <v>2</v>
      </c>
      <c r="K11" s="128">
        <v>2.5</v>
      </c>
      <c r="L11" s="126"/>
      <c r="M11" s="704" t="s">
        <v>266</v>
      </c>
      <c r="N11" s="127" t="s">
        <v>562</v>
      </c>
      <c r="O11" s="125">
        <v>1</v>
      </c>
      <c r="P11" s="125" t="s">
        <v>17</v>
      </c>
      <c r="Q11" s="125">
        <v>1</v>
      </c>
      <c r="R11" s="125">
        <v>0</v>
      </c>
      <c r="S11" s="125">
        <v>0</v>
      </c>
      <c r="T11" s="125">
        <v>0</v>
      </c>
      <c r="U11" s="125">
        <v>1020100</v>
      </c>
      <c r="V11" s="129"/>
      <c r="W11" s="130">
        <v>44919334.403999999</v>
      </c>
      <c r="X11" s="123">
        <f t="shared" si="0"/>
        <v>44919334.403999999</v>
      </c>
      <c r="Y11" s="369"/>
      <c r="Z11" s="369"/>
      <c r="AA11" s="369"/>
      <c r="AB11" s="369"/>
      <c r="AC11" s="130">
        <v>17424396</v>
      </c>
      <c r="AD11" s="130">
        <v>17424396</v>
      </c>
      <c r="AE11" s="130"/>
      <c r="AF11" s="291"/>
      <c r="AG11" s="291"/>
      <c r="AH11" s="291"/>
      <c r="AI11" s="291"/>
      <c r="AJ11" s="291"/>
      <c r="AK11" s="291"/>
      <c r="AL11" s="291"/>
      <c r="AM11" s="291"/>
      <c r="AN11" s="291"/>
      <c r="AO11" s="291"/>
      <c r="AP11" s="291"/>
      <c r="AQ11" s="120" t="s">
        <v>342</v>
      </c>
      <c r="AR11" s="120" t="s">
        <v>342</v>
      </c>
      <c r="AS11" s="701"/>
    </row>
    <row r="12" spans="1:52" s="218" customFormat="1" ht="77.25" customHeight="1" thickBot="1">
      <c r="A12" s="705"/>
      <c r="B12" s="705"/>
      <c r="C12" s="705"/>
      <c r="D12" s="705"/>
      <c r="E12" s="705"/>
      <c r="F12" s="705"/>
      <c r="G12" s="705"/>
      <c r="H12" s="132" t="s">
        <v>265</v>
      </c>
      <c r="I12" s="132" t="s">
        <v>18</v>
      </c>
      <c r="J12" s="132">
        <v>80</v>
      </c>
      <c r="K12" s="133">
        <v>85</v>
      </c>
      <c r="L12" s="134"/>
      <c r="M12" s="705"/>
      <c r="N12" s="135" t="s">
        <v>561</v>
      </c>
      <c r="O12" s="132">
        <v>1</v>
      </c>
      <c r="P12" s="125" t="s">
        <v>17</v>
      </c>
      <c r="Q12" s="132">
        <v>0</v>
      </c>
      <c r="R12" s="132">
        <v>0</v>
      </c>
      <c r="S12" s="132">
        <v>0</v>
      </c>
      <c r="T12" s="132">
        <v>1</v>
      </c>
      <c r="U12" s="136">
        <v>1020100</v>
      </c>
      <c r="V12" s="137"/>
      <c r="W12" s="130">
        <v>44919334.403999999</v>
      </c>
      <c r="X12" s="123">
        <f t="shared" si="0"/>
        <v>44919334.403999999</v>
      </c>
      <c r="Y12" s="369"/>
      <c r="Z12" s="369"/>
      <c r="AA12" s="369"/>
      <c r="AB12" s="369"/>
      <c r="AC12" s="130">
        <v>17424395</v>
      </c>
      <c r="AD12" s="130">
        <v>17424395</v>
      </c>
      <c r="AE12" s="130"/>
      <c r="AF12" s="291"/>
      <c r="AG12" s="291"/>
      <c r="AH12" s="291"/>
      <c r="AI12" s="291"/>
      <c r="AJ12" s="291"/>
      <c r="AK12" s="291"/>
      <c r="AL12" s="291"/>
      <c r="AM12" s="291"/>
      <c r="AN12" s="291"/>
      <c r="AO12" s="291"/>
      <c r="AP12" s="291"/>
      <c r="AQ12" s="120" t="s">
        <v>342</v>
      </c>
      <c r="AR12" s="120" t="s">
        <v>342</v>
      </c>
      <c r="AS12" s="702"/>
    </row>
    <row r="13" spans="1:52" s="218" customFormat="1" ht="36.75" customHeight="1">
      <c r="A13" s="974" t="s">
        <v>617</v>
      </c>
      <c r="B13" s="975"/>
      <c r="C13" s="975"/>
      <c r="D13" s="975"/>
      <c r="E13" s="975"/>
      <c r="F13" s="975"/>
      <c r="G13" s="975"/>
      <c r="H13" s="975"/>
      <c r="I13" s="975"/>
      <c r="J13" s="975"/>
      <c r="K13" s="975"/>
      <c r="L13" s="975"/>
      <c r="M13" s="975"/>
      <c r="N13" s="976"/>
      <c r="O13" s="278">
        <f>SUM(O11:O12)</f>
        <v>2</v>
      </c>
      <c r="P13" s="278" t="s">
        <v>452</v>
      </c>
      <c r="Q13" s="331">
        <f t="shared" ref="Q13:T13" si="4">SUM(Q11:Q12)</f>
        <v>1</v>
      </c>
      <c r="R13" s="331">
        <f t="shared" si="4"/>
        <v>0</v>
      </c>
      <c r="S13" s="331">
        <f t="shared" si="4"/>
        <v>0</v>
      </c>
      <c r="T13" s="331">
        <f t="shared" si="4"/>
        <v>1</v>
      </c>
      <c r="U13" s="278"/>
      <c r="V13" s="282"/>
      <c r="W13" s="283">
        <f>SUM(W11:W12)</f>
        <v>89838668.807999998</v>
      </c>
      <c r="X13" s="283">
        <f>SUM(X11:X12)</f>
        <v>89838668.807999998</v>
      </c>
      <c r="Y13" s="331">
        <f>SUM(Y11:Y12)</f>
        <v>0</v>
      </c>
      <c r="Z13" s="331">
        <f t="shared" ref="Z13:AH13" si="5">SUM(Z11:Z12)</f>
        <v>0</v>
      </c>
      <c r="AA13" s="331">
        <f t="shared" si="5"/>
        <v>0</v>
      </c>
      <c r="AB13" s="331">
        <f t="shared" si="5"/>
        <v>0</v>
      </c>
      <c r="AC13" s="283">
        <f t="shared" si="5"/>
        <v>34848791</v>
      </c>
      <c r="AD13" s="283">
        <f t="shared" si="5"/>
        <v>34848791</v>
      </c>
      <c r="AE13" s="283">
        <f t="shared" si="5"/>
        <v>0</v>
      </c>
      <c r="AF13" s="283">
        <f t="shared" si="5"/>
        <v>0</v>
      </c>
      <c r="AG13" s="283">
        <f t="shared" si="5"/>
        <v>0</v>
      </c>
      <c r="AH13" s="283">
        <f t="shared" si="5"/>
        <v>0</v>
      </c>
      <c r="AI13" s="346"/>
      <c r="AJ13" s="346"/>
      <c r="AK13" s="346"/>
      <c r="AL13" s="346"/>
      <c r="AM13" s="346"/>
      <c r="AN13" s="346"/>
      <c r="AO13" s="346"/>
      <c r="AP13" s="346"/>
      <c r="AQ13" s="336"/>
      <c r="AR13" s="336"/>
    </row>
    <row r="14" spans="1:52" s="218" customFormat="1">
      <c r="A14" s="3"/>
      <c r="B14" s="3"/>
      <c r="C14" s="3"/>
      <c r="D14" s="3"/>
      <c r="E14" s="3"/>
      <c r="F14" s="3"/>
      <c r="G14" s="3"/>
      <c r="H14" s="3"/>
      <c r="I14" s="3"/>
      <c r="N14" s="5"/>
      <c r="O14" s="3"/>
      <c r="P14" s="3"/>
      <c r="Q14" s="3"/>
      <c r="R14" s="3"/>
      <c r="S14" s="3"/>
      <c r="T14" s="3"/>
      <c r="U14" s="7">
        <v>90692582256</v>
      </c>
      <c r="V14" s="3"/>
      <c r="W14" s="8"/>
      <c r="X14" s="9"/>
      <c r="Y14" s="9"/>
      <c r="Z14" s="9"/>
      <c r="AA14" s="9"/>
      <c r="AB14" s="9"/>
      <c r="AC14" s="9"/>
      <c r="AD14" s="9"/>
      <c r="AE14" s="9"/>
      <c r="AF14" s="9"/>
      <c r="AG14" s="9"/>
      <c r="AH14" s="9"/>
      <c r="AI14" s="9"/>
      <c r="AJ14" s="9"/>
      <c r="AK14" s="9"/>
      <c r="AL14" s="9"/>
      <c r="AM14" s="9"/>
      <c r="AN14" s="9"/>
      <c r="AO14" s="9"/>
      <c r="AP14" s="9"/>
      <c r="AQ14" s="3"/>
      <c r="AR14" s="3"/>
    </row>
    <row r="15" spans="1:52" s="218" customFormat="1">
      <c r="A15" s="3"/>
      <c r="B15" s="3"/>
      <c r="C15" s="3"/>
      <c r="D15" s="3"/>
      <c r="E15" s="3"/>
      <c r="F15" s="3"/>
      <c r="G15" s="3"/>
      <c r="H15" s="3"/>
      <c r="I15" s="3"/>
      <c r="N15" s="5"/>
      <c r="O15" s="3"/>
      <c r="P15" s="3"/>
      <c r="Q15" s="3"/>
      <c r="R15" s="3"/>
      <c r="S15" s="3"/>
      <c r="T15" s="3"/>
      <c r="U15" s="7">
        <v>59707696938</v>
      </c>
      <c r="V15" s="3"/>
      <c r="W15" s="8"/>
      <c r="X15" s="13" t="e">
        <f>#REF!-#REF!</f>
        <v>#REF!</v>
      </c>
      <c r="Y15" s="13"/>
      <c r="Z15" s="13"/>
      <c r="AA15" s="13"/>
      <c r="AB15" s="13"/>
      <c r="AC15" s="13"/>
      <c r="AD15" s="13"/>
      <c r="AE15" s="13"/>
      <c r="AF15" s="13"/>
      <c r="AG15" s="13"/>
      <c r="AH15" s="13"/>
      <c r="AI15" s="13"/>
      <c r="AJ15" s="13"/>
      <c r="AK15" s="13"/>
      <c r="AL15" s="13"/>
      <c r="AM15" s="13"/>
      <c r="AN15" s="13"/>
      <c r="AO15" s="13"/>
      <c r="AP15" s="13"/>
      <c r="AQ15" s="3"/>
      <c r="AR15" s="3"/>
    </row>
    <row r="16" spans="1:52" s="218" customFormat="1">
      <c r="A16" s="3"/>
      <c r="B16" s="3"/>
      <c r="C16" s="3"/>
      <c r="D16" s="3"/>
      <c r="E16" s="3"/>
      <c r="F16" s="3"/>
      <c r="G16" s="3"/>
      <c r="H16" s="3"/>
      <c r="I16" s="3"/>
      <c r="N16" s="5"/>
      <c r="O16" s="3"/>
      <c r="P16" s="3"/>
      <c r="Q16" s="3"/>
      <c r="R16" s="3"/>
      <c r="S16" s="3"/>
      <c r="T16" s="3"/>
      <c r="U16" s="7">
        <f>+U14-U15</f>
        <v>30984885318</v>
      </c>
      <c r="V16" s="3"/>
      <c r="W16" s="8"/>
      <c r="X16" s="8"/>
      <c r="Y16" s="8"/>
      <c r="Z16" s="8"/>
      <c r="AA16" s="8"/>
      <c r="AB16" s="8"/>
      <c r="AC16" s="8"/>
      <c r="AD16" s="8"/>
      <c r="AE16" s="8"/>
      <c r="AF16" s="8"/>
      <c r="AG16" s="8"/>
      <c r="AH16" s="8"/>
      <c r="AI16" s="8"/>
      <c r="AJ16" s="8"/>
      <c r="AK16" s="8"/>
      <c r="AL16" s="8"/>
      <c r="AM16" s="8"/>
      <c r="AN16" s="8"/>
      <c r="AO16" s="8"/>
      <c r="AP16" s="8"/>
      <c r="AQ16" s="3"/>
      <c r="AR16" s="3"/>
    </row>
    <row r="17" spans="1:44" s="218" customFormat="1">
      <c r="A17" s="3"/>
      <c r="B17" s="3"/>
      <c r="C17" s="3"/>
      <c r="D17" s="3"/>
      <c r="E17" s="3"/>
      <c r="F17" s="3"/>
      <c r="G17" s="3"/>
      <c r="H17" s="3"/>
      <c r="I17" s="3"/>
      <c r="N17" s="5"/>
      <c r="O17" s="3"/>
      <c r="P17" s="3"/>
      <c r="Q17" s="3"/>
      <c r="R17" s="3"/>
      <c r="S17" s="3"/>
      <c r="T17" s="3"/>
      <c r="U17" s="7"/>
      <c r="V17" s="3"/>
      <c r="W17" s="8"/>
      <c r="X17" s="8"/>
      <c r="Y17" s="8"/>
      <c r="Z17" s="8"/>
      <c r="AA17" s="8"/>
      <c r="AB17" s="8"/>
      <c r="AC17" s="8"/>
      <c r="AD17" s="8"/>
      <c r="AE17" s="8"/>
      <c r="AF17" s="8"/>
      <c r="AG17" s="8"/>
      <c r="AH17" s="8"/>
      <c r="AI17" s="8"/>
      <c r="AJ17" s="8"/>
      <c r="AK17" s="8"/>
      <c r="AL17" s="8"/>
      <c r="AM17" s="8"/>
      <c r="AN17" s="8"/>
      <c r="AO17" s="8"/>
      <c r="AP17" s="8"/>
      <c r="AQ17" s="3"/>
      <c r="AR17" s="3"/>
    </row>
    <row r="18" spans="1:44" s="218" customFormat="1">
      <c r="A18" s="3"/>
      <c r="B18" s="3"/>
      <c r="C18" s="3"/>
      <c r="D18" s="3"/>
      <c r="E18" s="3"/>
      <c r="F18" s="3"/>
      <c r="G18" s="3"/>
      <c r="H18" s="3"/>
      <c r="M18" s="5"/>
      <c r="N18" s="3"/>
      <c r="O18" s="3"/>
      <c r="P18" s="3"/>
      <c r="Q18" s="3"/>
      <c r="R18" s="3"/>
      <c r="S18" s="3"/>
      <c r="T18" s="3"/>
      <c r="U18" s="7"/>
      <c r="V18" s="3"/>
      <c r="W18" s="8"/>
      <c r="X18" s="8" t="e">
        <f>#REF!-X21</f>
        <v>#REF!</v>
      </c>
      <c r="Y18" s="8"/>
      <c r="Z18" s="8"/>
      <c r="AA18" s="8"/>
      <c r="AB18" s="8"/>
      <c r="AC18" s="8"/>
      <c r="AD18" s="8"/>
      <c r="AE18" s="8"/>
      <c r="AF18" s="8"/>
      <c r="AG18" s="8"/>
      <c r="AH18" s="8"/>
      <c r="AI18" s="8"/>
      <c r="AJ18" s="8"/>
      <c r="AK18" s="8"/>
      <c r="AL18" s="8"/>
      <c r="AM18" s="8"/>
      <c r="AN18" s="8"/>
      <c r="AO18" s="8"/>
      <c r="AP18" s="8"/>
      <c r="AQ18" s="3"/>
      <c r="AR18" s="3"/>
    </row>
    <row r="19" spans="1:44" s="218" customFormat="1" ht="15">
      <c r="A19" s="877" t="s">
        <v>601</v>
      </c>
      <c r="B19" s="877"/>
      <c r="C19" s="877"/>
      <c r="D19" s="877"/>
      <c r="E19" s="877"/>
      <c r="F19" s="877"/>
      <c r="G19" s="877"/>
      <c r="H19" s="877"/>
      <c r="I19" s="877"/>
      <c r="J19" s="877"/>
      <c r="K19" s="877"/>
      <c r="L19" s="877"/>
      <c r="M19" s="877"/>
      <c r="N19" s="877"/>
      <c r="O19" s="877"/>
      <c r="P19" s="3"/>
      <c r="Q19" s="3"/>
      <c r="R19" s="3"/>
      <c r="S19" s="3"/>
      <c r="T19" s="3"/>
      <c r="U19" s="178" t="e">
        <f>U15-#REF!</f>
        <v>#REF!</v>
      </c>
      <c r="V19" s="3"/>
      <c r="W19" s="8"/>
      <c r="X19" s="8"/>
      <c r="Y19" s="8"/>
      <c r="Z19" s="8"/>
      <c r="AA19" s="8"/>
      <c r="AB19" s="8"/>
      <c r="AC19" s="8"/>
      <c r="AD19" s="8"/>
      <c r="AE19" s="8"/>
      <c r="AF19" s="8"/>
      <c r="AG19" s="8"/>
      <c r="AH19" s="8"/>
      <c r="AI19" s="8"/>
      <c r="AJ19" s="8"/>
      <c r="AK19" s="8"/>
      <c r="AL19" s="8"/>
      <c r="AM19" s="8"/>
      <c r="AN19" s="8"/>
      <c r="AO19" s="8"/>
      <c r="AP19" s="8"/>
      <c r="AQ19" s="3"/>
      <c r="AR19" s="3"/>
    </row>
    <row r="20" spans="1:44" s="218" customFormat="1" ht="60">
      <c r="A20" s="318" t="s">
        <v>598</v>
      </c>
      <c r="B20" s="319" t="s">
        <v>587</v>
      </c>
      <c r="C20" s="319" t="s">
        <v>588</v>
      </c>
      <c r="D20" s="319" t="s">
        <v>589</v>
      </c>
      <c r="E20" s="319" t="s">
        <v>590</v>
      </c>
      <c r="F20" s="319" t="s">
        <v>589</v>
      </c>
      <c r="G20" s="319" t="s">
        <v>591</v>
      </c>
      <c r="H20" s="319" t="s">
        <v>589</v>
      </c>
      <c r="I20" s="319"/>
      <c r="J20" s="320"/>
      <c r="K20" s="320"/>
      <c r="L20" s="320"/>
      <c r="M20" s="319" t="s">
        <v>589</v>
      </c>
      <c r="N20" s="319" t="s">
        <v>592</v>
      </c>
      <c r="O20" s="319" t="s">
        <v>589</v>
      </c>
      <c r="P20" s="3"/>
      <c r="Q20" s="3"/>
      <c r="R20" s="3"/>
      <c r="S20" s="3"/>
      <c r="T20" s="3"/>
      <c r="U20" s="7"/>
      <c r="V20" s="16" t="e">
        <f>X21-#REF!</f>
        <v>#REF!</v>
      </c>
      <c r="W20" s="8"/>
      <c r="X20" s="8"/>
      <c r="Y20" s="8"/>
      <c r="Z20" s="8"/>
      <c r="AA20" s="8"/>
      <c r="AB20" s="8"/>
      <c r="AC20" s="8"/>
      <c r="AD20" s="8"/>
      <c r="AE20" s="8"/>
      <c r="AF20" s="8"/>
      <c r="AG20" s="8"/>
      <c r="AH20" s="8"/>
      <c r="AI20" s="8"/>
      <c r="AJ20" s="8"/>
      <c r="AK20" s="8"/>
      <c r="AL20" s="8"/>
      <c r="AM20" s="8"/>
      <c r="AN20" s="8"/>
      <c r="AO20" s="8"/>
      <c r="AP20" s="8"/>
      <c r="AQ20" s="3"/>
      <c r="AR20" s="3"/>
    </row>
    <row r="21" spans="1:44" s="218" customFormat="1" ht="23.25">
      <c r="A21" s="303" t="s">
        <v>599</v>
      </c>
      <c r="B21" s="303">
        <f>O10</f>
        <v>10</v>
      </c>
      <c r="C21" s="311">
        <f>Y10</f>
        <v>0</v>
      </c>
      <c r="D21" s="314">
        <f>B21*C21/100</f>
        <v>0</v>
      </c>
      <c r="E21" s="303">
        <f>Z10</f>
        <v>0</v>
      </c>
      <c r="F21" s="314">
        <f>B21*E21/100</f>
        <v>0</v>
      </c>
      <c r="G21" s="303">
        <f>AA10</f>
        <v>0</v>
      </c>
      <c r="H21" s="314">
        <f>B21*G21/100</f>
        <v>0</v>
      </c>
      <c r="I21" s="304"/>
      <c r="J21" s="304"/>
      <c r="K21" s="304"/>
      <c r="L21" s="304"/>
      <c r="M21" s="305"/>
      <c r="N21" s="303">
        <f>AB10</f>
        <v>0</v>
      </c>
      <c r="O21" s="314">
        <f>B21*N21/100</f>
        <v>0</v>
      </c>
      <c r="P21" s="3"/>
      <c r="Q21" s="3"/>
      <c r="R21" s="3"/>
      <c r="S21" s="3"/>
      <c r="T21" s="3"/>
      <c r="U21" s="7"/>
      <c r="V21" s="3"/>
      <c r="W21" s="8"/>
      <c r="X21" s="14">
        <v>90692582257</v>
      </c>
      <c r="Y21" s="286"/>
      <c r="Z21" s="286"/>
      <c r="AA21" s="286"/>
      <c r="AB21" s="286"/>
      <c r="AC21" s="286"/>
      <c r="AD21" s="286"/>
      <c r="AE21" s="286"/>
      <c r="AF21" s="286"/>
      <c r="AG21" s="286"/>
      <c r="AH21" s="286"/>
      <c r="AI21" s="286"/>
      <c r="AJ21" s="286"/>
      <c r="AK21" s="286"/>
      <c r="AL21" s="286"/>
      <c r="AM21" s="286"/>
      <c r="AN21" s="286"/>
      <c r="AO21" s="286"/>
      <c r="AP21" s="286"/>
      <c r="AQ21" s="15" t="e">
        <f>X21-#REF!</f>
        <v>#REF!</v>
      </c>
      <c r="AR21" s="3"/>
    </row>
    <row r="22" spans="1:44" s="218" customFormat="1">
      <c r="A22" s="7"/>
      <c r="B22" s="7"/>
      <c r="C22" s="7"/>
      <c r="D22" s="7"/>
      <c r="E22" s="7"/>
      <c r="F22" s="7"/>
      <c r="G22" s="7"/>
      <c r="H22" s="7"/>
      <c r="I22" s="306"/>
      <c r="J22" s="306"/>
      <c r="K22" s="306"/>
      <c r="L22" s="306"/>
      <c r="M22" s="307"/>
      <c r="N22" s="7"/>
      <c r="O22" s="3"/>
      <c r="P22" s="3"/>
      <c r="Q22" s="3"/>
      <c r="R22" s="3"/>
      <c r="S22" s="3"/>
      <c r="T22" s="3"/>
      <c r="U22" s="178" t="e">
        <f>#REF!-U15</f>
        <v>#REF!</v>
      </c>
      <c r="V22" s="3"/>
      <c r="W22" s="8"/>
      <c r="X22" s="8"/>
      <c r="Y22" s="8"/>
      <c r="Z22" s="8"/>
      <c r="AA22" s="8"/>
      <c r="AB22" s="8"/>
      <c r="AC22" s="8"/>
      <c r="AD22" s="8"/>
      <c r="AE22" s="8"/>
      <c r="AF22" s="8"/>
      <c r="AG22" s="8"/>
      <c r="AH22" s="8"/>
      <c r="AI22" s="8"/>
      <c r="AJ22" s="8"/>
      <c r="AK22" s="8"/>
      <c r="AL22" s="8"/>
      <c r="AM22" s="8"/>
      <c r="AN22" s="8"/>
      <c r="AO22" s="8"/>
      <c r="AP22" s="8"/>
      <c r="AQ22" s="3"/>
      <c r="AR22" s="3"/>
    </row>
    <row r="23" spans="1:44" s="218" customFormat="1" ht="15">
      <c r="A23" s="878" t="s">
        <v>602</v>
      </c>
      <c r="B23" s="878"/>
      <c r="C23" s="878"/>
      <c r="D23" s="878"/>
      <c r="E23" s="878"/>
      <c r="F23" s="878"/>
      <c r="G23" s="878"/>
      <c r="H23" s="878"/>
      <c r="I23" s="878"/>
      <c r="J23" s="878"/>
      <c r="K23" s="878"/>
      <c r="L23" s="878"/>
      <c r="M23" s="878"/>
      <c r="N23" s="878"/>
      <c r="O23" s="3"/>
      <c r="P23" s="3"/>
      <c r="Q23" s="3"/>
      <c r="R23" s="3"/>
      <c r="S23" s="3"/>
      <c r="T23" s="3"/>
      <c r="U23" s="7"/>
      <c r="V23" s="3"/>
      <c r="W23" s="8"/>
      <c r="X23" s="8"/>
      <c r="Y23" s="8"/>
      <c r="Z23" s="8"/>
      <c r="AA23" s="8"/>
      <c r="AB23" s="8"/>
      <c r="AC23" s="8"/>
      <c r="AD23" s="8"/>
      <c r="AE23" s="8"/>
      <c r="AF23" s="8"/>
      <c r="AG23" s="8"/>
      <c r="AH23" s="8"/>
      <c r="AI23" s="8"/>
      <c r="AJ23" s="8"/>
      <c r="AK23" s="8"/>
      <c r="AL23" s="8"/>
      <c r="AM23" s="8"/>
      <c r="AN23" s="8"/>
      <c r="AO23" s="8"/>
      <c r="AP23" s="8"/>
      <c r="AQ23" s="3"/>
      <c r="AR23" s="3"/>
    </row>
    <row r="24" spans="1:44" s="218" customFormat="1" ht="45">
      <c r="A24" s="316" t="s">
        <v>593</v>
      </c>
      <c r="B24" s="316" t="s">
        <v>594</v>
      </c>
      <c r="C24" s="316" t="s">
        <v>589</v>
      </c>
      <c r="D24" s="316" t="s">
        <v>595</v>
      </c>
      <c r="E24" s="316" t="s">
        <v>589</v>
      </c>
      <c r="F24" s="316" t="s">
        <v>596</v>
      </c>
      <c r="G24" s="316" t="s">
        <v>589</v>
      </c>
      <c r="H24" s="316" t="s">
        <v>597</v>
      </c>
      <c r="I24" s="317"/>
      <c r="J24" s="317"/>
      <c r="K24" s="317"/>
      <c r="L24" s="317"/>
      <c r="M24" s="316" t="s">
        <v>597</v>
      </c>
      <c r="N24" s="316" t="s">
        <v>589</v>
      </c>
      <c r="O24" s="3"/>
      <c r="P24" s="3"/>
      <c r="Q24" s="3"/>
      <c r="R24" s="3"/>
      <c r="S24" s="3"/>
      <c r="T24" s="3"/>
      <c r="U24" s="7"/>
      <c r="V24" s="3"/>
      <c r="W24" s="8"/>
      <c r="X24" s="8"/>
      <c r="Y24" s="8"/>
      <c r="Z24" s="8"/>
      <c r="AA24" s="8"/>
      <c r="AB24" s="8"/>
      <c r="AC24" s="8"/>
      <c r="AD24" s="8"/>
      <c r="AE24" s="8"/>
      <c r="AF24" s="8"/>
      <c r="AG24" s="8"/>
      <c r="AH24" s="8"/>
      <c r="AI24" s="8"/>
      <c r="AJ24" s="8"/>
      <c r="AK24" s="8"/>
      <c r="AL24" s="8"/>
      <c r="AM24" s="8"/>
      <c r="AN24" s="8"/>
      <c r="AO24" s="8"/>
      <c r="AP24" s="8"/>
      <c r="AQ24" s="3"/>
      <c r="AR24" s="3"/>
    </row>
    <row r="25" spans="1:44" s="218" customFormat="1">
      <c r="A25" s="309">
        <f>X10</f>
        <v>30000000</v>
      </c>
      <c r="B25" s="309">
        <f>AC10</f>
        <v>0</v>
      </c>
      <c r="C25" s="315">
        <f>A25*B25/100</f>
        <v>0</v>
      </c>
      <c r="D25" s="309">
        <f>AD10</f>
        <v>0</v>
      </c>
      <c r="E25" s="314">
        <f>A25*D25/100</f>
        <v>0</v>
      </c>
      <c r="F25" s="309">
        <f>AE10</f>
        <v>0</v>
      </c>
      <c r="G25" s="314">
        <f>A25*F25/100</f>
        <v>0</v>
      </c>
      <c r="H25" s="309">
        <f>AF10</f>
        <v>0</v>
      </c>
      <c r="I25" s="304"/>
      <c r="J25" s="304"/>
      <c r="K25" s="304"/>
      <c r="L25" s="304"/>
      <c r="M25" s="325">
        <f>AE5</f>
        <v>0</v>
      </c>
      <c r="N25" s="314">
        <f>A25*H25/100</f>
        <v>0</v>
      </c>
      <c r="O25" s="3"/>
      <c r="P25" s="3"/>
      <c r="Q25" s="3"/>
      <c r="R25" s="3"/>
      <c r="S25" s="3"/>
      <c r="T25" s="3"/>
      <c r="U25" s="7"/>
      <c r="V25" s="3"/>
      <c r="W25" s="8"/>
      <c r="X25" s="8"/>
      <c r="Y25" s="8"/>
      <c r="Z25" s="8"/>
      <c r="AA25" s="8"/>
      <c r="AB25" s="8"/>
      <c r="AC25" s="8"/>
      <c r="AD25" s="8"/>
      <c r="AE25" s="8"/>
      <c r="AF25" s="8"/>
      <c r="AG25" s="8"/>
      <c r="AH25" s="8"/>
      <c r="AI25" s="8"/>
      <c r="AJ25" s="8"/>
      <c r="AK25" s="8"/>
      <c r="AL25" s="8"/>
      <c r="AM25" s="8"/>
      <c r="AN25" s="8"/>
      <c r="AO25" s="8"/>
      <c r="AP25" s="8"/>
      <c r="AQ25" s="3"/>
      <c r="AR25" s="3"/>
    </row>
    <row r="26" spans="1:44" s="218" customFormat="1">
      <c r="A26" s="303"/>
      <c r="B26" s="303"/>
      <c r="C26" s="303"/>
      <c r="D26" s="303"/>
      <c r="E26" s="303"/>
      <c r="F26" s="303"/>
      <c r="G26" s="303"/>
      <c r="H26" s="303"/>
      <c r="I26" s="304"/>
      <c r="J26" s="304"/>
      <c r="K26" s="304"/>
      <c r="L26" s="304"/>
      <c r="M26" s="305"/>
      <c r="N26" s="303"/>
      <c r="O26" s="3"/>
      <c r="P26" s="3"/>
      <c r="Q26" s="3"/>
      <c r="R26" s="3"/>
      <c r="S26" s="3"/>
      <c r="T26" s="3"/>
      <c r="U26" s="7"/>
      <c r="V26" s="3"/>
      <c r="W26" s="8"/>
      <c r="X26" s="8"/>
      <c r="Y26" s="8"/>
      <c r="Z26" s="8"/>
      <c r="AA26" s="8"/>
      <c r="AB26" s="8"/>
      <c r="AC26" s="8"/>
      <c r="AD26" s="8"/>
      <c r="AE26" s="8"/>
      <c r="AF26" s="8"/>
      <c r="AG26" s="8"/>
      <c r="AH26" s="8"/>
      <c r="AI26" s="8"/>
      <c r="AJ26" s="8"/>
      <c r="AK26" s="8"/>
      <c r="AL26" s="8"/>
      <c r="AM26" s="8"/>
      <c r="AN26" s="8"/>
      <c r="AO26" s="8"/>
      <c r="AP26" s="8"/>
      <c r="AQ26" s="3"/>
      <c r="AR26" s="3"/>
    </row>
    <row r="27" spans="1:44" s="218" customFormat="1">
      <c r="A27" s="3"/>
      <c r="B27" s="3"/>
      <c r="C27" s="3"/>
      <c r="D27" s="3"/>
      <c r="E27" s="3"/>
      <c r="F27" s="3"/>
      <c r="G27" s="3"/>
      <c r="H27" s="3"/>
      <c r="M27" s="5"/>
      <c r="N27" s="3"/>
      <c r="O27" s="3"/>
      <c r="P27" s="3"/>
      <c r="Q27" s="3"/>
      <c r="R27" s="3"/>
      <c r="S27" s="3"/>
      <c r="T27" s="3"/>
      <c r="U27" s="7"/>
      <c r="V27" s="3"/>
      <c r="W27" s="8"/>
      <c r="X27" s="8"/>
      <c r="Y27" s="8"/>
      <c r="Z27" s="8"/>
      <c r="AA27" s="8"/>
      <c r="AB27" s="8"/>
      <c r="AC27" s="8"/>
      <c r="AD27" s="8"/>
      <c r="AE27" s="8"/>
      <c r="AF27" s="8"/>
      <c r="AG27" s="8"/>
      <c r="AH27" s="8"/>
      <c r="AI27" s="8"/>
      <c r="AJ27" s="8"/>
      <c r="AK27" s="8"/>
      <c r="AL27" s="8"/>
      <c r="AM27" s="8"/>
      <c r="AN27" s="8"/>
      <c r="AO27" s="8"/>
      <c r="AP27" s="8"/>
      <c r="AQ27" s="3"/>
      <c r="AR27" s="3"/>
    </row>
    <row r="28" spans="1:44" s="218" customFormat="1" ht="15">
      <c r="A28" s="877" t="s">
        <v>603</v>
      </c>
      <c r="B28" s="877"/>
      <c r="C28" s="877"/>
      <c r="D28" s="877"/>
      <c r="E28" s="877"/>
      <c r="F28" s="877"/>
      <c r="G28" s="877"/>
      <c r="H28" s="877"/>
      <c r="I28" s="877"/>
      <c r="J28" s="877"/>
      <c r="K28" s="877"/>
      <c r="L28" s="877"/>
      <c r="M28" s="877"/>
      <c r="N28" s="877"/>
      <c r="O28" s="877"/>
      <c r="P28" s="3"/>
      <c r="Q28" s="3"/>
      <c r="R28" s="3"/>
      <c r="S28" s="3"/>
      <c r="T28" s="3"/>
      <c r="U28" s="7"/>
      <c r="V28" s="3"/>
      <c r="W28" s="8"/>
      <c r="X28" s="8"/>
      <c r="Y28" s="8"/>
      <c r="Z28" s="8"/>
      <c r="AA28" s="8"/>
      <c r="AB28" s="8"/>
      <c r="AC28" s="8"/>
      <c r="AD28" s="8"/>
      <c r="AE28" s="8"/>
      <c r="AF28" s="8"/>
      <c r="AG28" s="8"/>
      <c r="AH28" s="8"/>
      <c r="AI28" s="8"/>
      <c r="AJ28" s="8"/>
      <c r="AK28" s="8"/>
      <c r="AL28" s="8"/>
      <c r="AM28" s="8"/>
      <c r="AN28" s="8"/>
      <c r="AO28" s="8"/>
      <c r="AP28" s="8"/>
      <c r="AQ28" s="3"/>
      <c r="AR28" s="3"/>
    </row>
    <row r="29" spans="1:44" s="218" customFormat="1" ht="60">
      <c r="A29" s="318" t="s">
        <v>598</v>
      </c>
      <c r="B29" s="319" t="s">
        <v>587</v>
      </c>
      <c r="C29" s="319" t="s">
        <v>588</v>
      </c>
      <c r="D29" s="319" t="s">
        <v>589</v>
      </c>
      <c r="E29" s="319" t="s">
        <v>590</v>
      </c>
      <c r="F29" s="319" t="s">
        <v>589</v>
      </c>
      <c r="G29" s="319" t="s">
        <v>591</v>
      </c>
      <c r="H29" s="319" t="s">
        <v>589</v>
      </c>
      <c r="I29" s="319"/>
      <c r="J29" s="320"/>
      <c r="K29" s="320"/>
      <c r="L29" s="320"/>
      <c r="M29" s="319" t="s">
        <v>589</v>
      </c>
      <c r="N29" s="319" t="s">
        <v>592</v>
      </c>
      <c r="O29" s="319" t="s">
        <v>589</v>
      </c>
      <c r="P29" s="3"/>
      <c r="Q29" s="3"/>
      <c r="R29" s="3"/>
      <c r="S29" s="3"/>
      <c r="T29" s="3"/>
      <c r="U29" s="7"/>
      <c r="V29" s="3"/>
      <c r="W29" s="8"/>
      <c r="X29" s="8"/>
      <c r="Y29" s="8"/>
      <c r="Z29" s="8"/>
      <c r="AA29" s="8"/>
      <c r="AB29" s="8"/>
      <c r="AC29" s="8"/>
      <c r="AD29" s="8"/>
      <c r="AE29" s="8"/>
      <c r="AF29" s="8"/>
      <c r="AG29" s="8"/>
      <c r="AH29" s="8"/>
      <c r="AI29" s="8"/>
      <c r="AJ29" s="8"/>
      <c r="AK29" s="8"/>
      <c r="AL29" s="8"/>
      <c r="AM29" s="8"/>
      <c r="AN29" s="8"/>
      <c r="AO29" s="8"/>
      <c r="AP29" s="8"/>
      <c r="AQ29" s="3"/>
      <c r="AR29" s="3"/>
    </row>
    <row r="30" spans="1:44" s="218" customFormat="1">
      <c r="A30" s="303" t="s">
        <v>599</v>
      </c>
      <c r="B30" s="303">
        <f>O13</f>
        <v>2</v>
      </c>
      <c r="C30" s="311">
        <f>Y13</f>
        <v>0</v>
      </c>
      <c r="D30" s="314">
        <f>B30*C30/100</f>
        <v>0</v>
      </c>
      <c r="E30" s="303">
        <f>Z13</f>
        <v>0</v>
      </c>
      <c r="F30" s="314">
        <f>B30*E30/100</f>
        <v>0</v>
      </c>
      <c r="G30" s="303">
        <f>AA13</f>
        <v>0</v>
      </c>
      <c r="H30" s="314">
        <f>B30*G30/100</f>
        <v>0</v>
      </c>
      <c r="I30" s="304"/>
      <c r="J30" s="304"/>
      <c r="K30" s="304"/>
      <c r="L30" s="304"/>
      <c r="M30" s="305"/>
      <c r="N30" s="303">
        <f>AB13</f>
        <v>0</v>
      </c>
      <c r="O30" s="314">
        <f>B30*N30/100</f>
        <v>0</v>
      </c>
      <c r="P30" s="3"/>
      <c r="Q30" s="3"/>
      <c r="R30" s="3"/>
      <c r="S30" s="3"/>
      <c r="T30" s="3"/>
      <c r="U30" s="7"/>
      <c r="V30" s="3"/>
      <c r="W30" s="8"/>
      <c r="X30" s="8"/>
      <c r="Y30" s="8"/>
      <c r="Z30" s="8"/>
      <c r="AA30" s="8"/>
      <c r="AB30" s="8"/>
      <c r="AC30" s="8"/>
      <c r="AD30" s="8"/>
      <c r="AE30" s="8"/>
      <c r="AF30" s="8"/>
      <c r="AG30" s="8"/>
      <c r="AH30" s="8"/>
      <c r="AI30" s="8"/>
      <c r="AJ30" s="8"/>
      <c r="AK30" s="8"/>
      <c r="AL30" s="8"/>
      <c r="AM30" s="8"/>
      <c r="AN30" s="8"/>
      <c r="AO30" s="8"/>
      <c r="AP30" s="8"/>
      <c r="AQ30" s="3"/>
      <c r="AR30" s="3"/>
    </row>
    <row r="31" spans="1:44" s="218" customFormat="1">
      <c r="A31" s="7"/>
      <c r="B31" s="7"/>
      <c r="C31" s="7"/>
      <c r="D31" s="7"/>
      <c r="E31" s="7"/>
      <c r="F31" s="7"/>
      <c r="G31" s="7"/>
      <c r="H31" s="7"/>
      <c r="I31" s="306"/>
      <c r="J31" s="306"/>
      <c r="K31" s="306"/>
      <c r="L31" s="306"/>
      <c r="M31" s="307"/>
      <c r="N31" s="7"/>
      <c r="O31" s="3"/>
      <c r="P31" s="3"/>
      <c r="Q31" s="3"/>
      <c r="R31" s="3"/>
      <c r="S31" s="3"/>
      <c r="T31" s="3"/>
      <c r="U31" s="7"/>
      <c r="V31" s="3"/>
      <c r="W31" s="8"/>
      <c r="X31" s="8"/>
      <c r="Y31" s="8"/>
      <c r="Z31" s="8"/>
      <c r="AA31" s="8"/>
      <c r="AB31" s="8"/>
      <c r="AC31" s="8"/>
      <c r="AD31" s="8"/>
      <c r="AE31" s="8"/>
      <c r="AF31" s="8"/>
      <c r="AG31" s="8"/>
      <c r="AH31" s="8"/>
      <c r="AI31" s="8"/>
      <c r="AJ31" s="8"/>
      <c r="AK31" s="8"/>
      <c r="AL31" s="8"/>
      <c r="AM31" s="8"/>
      <c r="AN31" s="8"/>
      <c r="AO31" s="8"/>
      <c r="AP31" s="8"/>
      <c r="AQ31" s="3"/>
      <c r="AR31" s="3"/>
    </row>
    <row r="32" spans="1:44" s="218" customFormat="1" ht="15">
      <c r="A32" s="878" t="s">
        <v>604</v>
      </c>
      <c r="B32" s="878"/>
      <c r="C32" s="878"/>
      <c r="D32" s="878"/>
      <c r="E32" s="878"/>
      <c r="F32" s="878"/>
      <c r="G32" s="878"/>
      <c r="H32" s="878"/>
      <c r="I32" s="878"/>
      <c r="J32" s="878"/>
      <c r="K32" s="878"/>
      <c r="L32" s="878"/>
      <c r="M32" s="878"/>
      <c r="N32" s="878"/>
      <c r="O32" s="3"/>
      <c r="P32" s="3"/>
      <c r="Q32" s="3"/>
      <c r="R32" s="3"/>
      <c r="S32" s="3"/>
      <c r="T32" s="3"/>
      <c r="U32" s="7"/>
      <c r="V32" s="3"/>
      <c r="W32" s="8"/>
      <c r="X32" s="8"/>
      <c r="Y32" s="8"/>
      <c r="Z32" s="8"/>
      <c r="AA32" s="8"/>
      <c r="AB32" s="8"/>
      <c r="AC32" s="8"/>
      <c r="AD32" s="8"/>
      <c r="AE32" s="8"/>
      <c r="AF32" s="8"/>
      <c r="AG32" s="8"/>
      <c r="AH32" s="8"/>
      <c r="AI32" s="8"/>
      <c r="AJ32" s="8"/>
      <c r="AK32" s="8"/>
      <c r="AL32" s="8"/>
      <c r="AM32" s="8"/>
      <c r="AN32" s="8"/>
      <c r="AO32" s="8"/>
      <c r="AP32" s="8"/>
      <c r="AQ32" s="3"/>
      <c r="AR32" s="3"/>
    </row>
    <row r="33" spans="1:44" s="218" customFormat="1" ht="45">
      <c r="A33" s="316" t="s">
        <v>593</v>
      </c>
      <c r="B33" s="316" t="s">
        <v>594</v>
      </c>
      <c r="C33" s="316" t="s">
        <v>589</v>
      </c>
      <c r="D33" s="316" t="s">
        <v>595</v>
      </c>
      <c r="E33" s="316" t="s">
        <v>589</v>
      </c>
      <c r="F33" s="316" t="s">
        <v>596</v>
      </c>
      <c r="G33" s="316" t="s">
        <v>589</v>
      </c>
      <c r="H33" s="316" t="s">
        <v>597</v>
      </c>
      <c r="I33" s="317"/>
      <c r="J33" s="317"/>
      <c r="K33" s="317"/>
      <c r="L33" s="317"/>
      <c r="M33" s="316" t="s">
        <v>597</v>
      </c>
      <c r="N33" s="316" t="s">
        <v>589</v>
      </c>
      <c r="O33" s="3"/>
      <c r="P33" s="3"/>
      <c r="Q33" s="3"/>
      <c r="R33" s="3"/>
      <c r="S33" s="3"/>
      <c r="T33" s="3"/>
      <c r="U33" s="7"/>
      <c r="V33" s="3"/>
      <c r="W33" s="8"/>
      <c r="X33" s="8"/>
      <c r="Y33" s="8"/>
      <c r="Z33" s="8"/>
      <c r="AA33" s="8"/>
      <c r="AB33" s="8"/>
      <c r="AC33" s="8"/>
      <c r="AD33" s="8"/>
      <c r="AE33" s="8"/>
      <c r="AF33" s="8"/>
      <c r="AG33" s="8"/>
      <c r="AH33" s="8"/>
      <c r="AI33" s="8"/>
      <c r="AJ33" s="8"/>
      <c r="AK33" s="8"/>
      <c r="AL33" s="8"/>
      <c r="AM33" s="8"/>
      <c r="AN33" s="8"/>
      <c r="AO33" s="8"/>
      <c r="AP33" s="8"/>
      <c r="AQ33" s="3"/>
      <c r="AR33" s="3"/>
    </row>
    <row r="34" spans="1:44" s="218" customFormat="1" ht="15">
      <c r="A34" s="321">
        <f>X13</f>
        <v>89838668.807999998</v>
      </c>
      <c r="B34" s="321">
        <f>AC13</f>
        <v>34848791</v>
      </c>
      <c r="C34" s="363">
        <f>A34*B34/100</f>
        <v>31307689930082.109</v>
      </c>
      <c r="D34" s="321">
        <f>AD13</f>
        <v>34848791</v>
      </c>
      <c r="E34" s="364">
        <f>A34*D34/100</f>
        <v>31307689930082.109</v>
      </c>
      <c r="F34" s="321">
        <f>AD13</f>
        <v>34848791</v>
      </c>
      <c r="G34" s="364">
        <f>A34*F34/100</f>
        <v>31307689930082.109</v>
      </c>
      <c r="H34" s="321">
        <f>AE13</f>
        <v>0</v>
      </c>
      <c r="I34" s="322"/>
      <c r="J34" s="322"/>
      <c r="K34" s="322"/>
      <c r="L34" s="322"/>
      <c r="M34" s="326">
        <f>AE11</f>
        <v>0</v>
      </c>
      <c r="N34" s="364">
        <f>A34*H34/100</f>
        <v>0</v>
      </c>
      <c r="O34" s="3"/>
      <c r="P34" s="3"/>
      <c r="Q34" s="3"/>
      <c r="R34" s="3"/>
      <c r="S34" s="3"/>
      <c r="T34" s="3"/>
      <c r="U34" s="7"/>
      <c r="V34" s="3"/>
      <c r="W34" s="8"/>
      <c r="X34" s="8"/>
      <c r="Y34" s="8"/>
      <c r="Z34" s="8"/>
      <c r="AA34" s="8"/>
      <c r="AB34" s="8"/>
      <c r="AC34" s="8"/>
      <c r="AD34" s="8"/>
      <c r="AE34" s="8"/>
      <c r="AF34" s="8"/>
      <c r="AG34" s="8"/>
      <c r="AH34" s="8"/>
      <c r="AI34" s="8"/>
      <c r="AJ34" s="8"/>
      <c r="AK34" s="8"/>
      <c r="AL34" s="8"/>
      <c r="AM34" s="8"/>
      <c r="AN34" s="8"/>
      <c r="AO34" s="8"/>
      <c r="AP34" s="8"/>
      <c r="AQ34" s="3"/>
      <c r="AR34" s="3"/>
    </row>
    <row r="35" spans="1:44" s="218" customFormat="1">
      <c r="A35" s="303"/>
      <c r="B35" s="303"/>
      <c r="C35" s="303"/>
      <c r="D35" s="303"/>
      <c r="E35" s="303"/>
      <c r="F35" s="303"/>
      <c r="G35" s="303"/>
      <c r="H35" s="303"/>
      <c r="I35" s="304"/>
      <c r="J35" s="304"/>
      <c r="K35" s="304"/>
      <c r="L35" s="304"/>
      <c r="M35" s="305"/>
      <c r="N35" s="303"/>
      <c r="O35" s="3"/>
      <c r="P35" s="3"/>
      <c r="Q35" s="3"/>
      <c r="R35" s="3"/>
      <c r="S35" s="3"/>
      <c r="T35" s="3"/>
      <c r="U35" s="7"/>
      <c r="V35" s="3"/>
      <c r="W35" s="8"/>
      <c r="X35" s="8"/>
      <c r="Y35" s="8"/>
      <c r="Z35" s="8"/>
      <c r="AA35" s="8"/>
      <c r="AB35" s="8"/>
      <c r="AC35" s="8"/>
      <c r="AD35" s="8"/>
      <c r="AE35" s="8"/>
      <c r="AF35" s="8"/>
      <c r="AG35" s="8"/>
      <c r="AH35" s="8"/>
      <c r="AI35" s="8"/>
      <c r="AJ35" s="8"/>
      <c r="AK35" s="8"/>
      <c r="AL35" s="8"/>
      <c r="AM35" s="8"/>
      <c r="AN35" s="8"/>
      <c r="AO35" s="8"/>
      <c r="AP35" s="8"/>
      <c r="AQ35" s="3"/>
      <c r="AR35" s="3"/>
    </row>
    <row r="36" spans="1:44" s="218" customFormat="1">
      <c r="A36" s="3"/>
      <c r="B36" s="3"/>
      <c r="C36" s="3"/>
      <c r="D36" s="3"/>
      <c r="E36" s="3"/>
      <c r="F36" s="3"/>
      <c r="G36" s="3"/>
      <c r="H36" s="3"/>
      <c r="M36" s="5"/>
      <c r="N36" s="3"/>
      <c r="O36" s="3"/>
      <c r="P36" s="3"/>
      <c r="Q36" s="3"/>
      <c r="R36" s="3"/>
      <c r="S36" s="3"/>
      <c r="T36" s="3"/>
      <c r="U36" s="7"/>
      <c r="V36" s="3"/>
      <c r="W36" s="8"/>
      <c r="X36" s="8"/>
      <c r="Y36" s="8"/>
      <c r="Z36" s="8"/>
      <c r="AA36" s="8"/>
      <c r="AB36" s="8"/>
      <c r="AC36" s="8"/>
      <c r="AD36" s="8"/>
      <c r="AE36" s="8"/>
      <c r="AF36" s="8"/>
      <c r="AG36" s="8"/>
      <c r="AH36" s="8"/>
      <c r="AI36" s="8"/>
      <c r="AJ36" s="8"/>
      <c r="AK36" s="8"/>
      <c r="AL36" s="8"/>
      <c r="AM36" s="8"/>
      <c r="AN36" s="8"/>
      <c r="AO36" s="8"/>
      <c r="AP36" s="8"/>
      <c r="AQ36" s="3"/>
      <c r="AR36" s="3"/>
    </row>
    <row r="37" spans="1:44">
      <c r="I37" s="2"/>
      <c r="M37" s="5"/>
      <c r="N37" s="3"/>
    </row>
    <row r="38" spans="1:44" ht="15">
      <c r="A38" s="877" t="s">
        <v>632</v>
      </c>
      <c r="B38" s="877"/>
      <c r="C38" s="877"/>
      <c r="D38" s="877"/>
      <c r="E38" s="877"/>
      <c r="F38" s="877"/>
      <c r="G38" s="877"/>
      <c r="H38" s="877"/>
      <c r="I38" s="877"/>
      <c r="J38" s="877"/>
      <c r="K38" s="877"/>
      <c r="L38" s="877"/>
      <c r="M38" s="877"/>
      <c r="N38" s="877"/>
      <c r="O38" s="877"/>
    </row>
    <row r="39" spans="1:44" ht="60">
      <c r="A39" s="318" t="s">
        <v>598</v>
      </c>
      <c r="B39" s="319" t="s">
        <v>587</v>
      </c>
      <c r="C39" s="319" t="s">
        <v>588</v>
      </c>
      <c r="D39" s="319" t="s">
        <v>589</v>
      </c>
      <c r="E39" s="319" t="s">
        <v>590</v>
      </c>
      <c r="F39" s="319" t="s">
        <v>589</v>
      </c>
      <c r="G39" s="319" t="s">
        <v>591</v>
      </c>
      <c r="H39" s="319" t="s">
        <v>589</v>
      </c>
      <c r="I39" s="319"/>
      <c r="J39" s="320"/>
      <c r="K39" s="320"/>
      <c r="L39" s="320"/>
      <c r="M39" s="320"/>
      <c r="N39" s="319" t="s">
        <v>592</v>
      </c>
      <c r="O39" s="319" t="s">
        <v>589</v>
      </c>
    </row>
    <row r="40" spans="1:44">
      <c r="A40" s="303" t="s">
        <v>599</v>
      </c>
      <c r="B40" s="303">
        <f>B30+B21</f>
        <v>12</v>
      </c>
      <c r="C40" s="311">
        <f>C30+C21</f>
        <v>0</v>
      </c>
      <c r="D40" s="314">
        <f>B40*C40/100</f>
        <v>0</v>
      </c>
      <c r="E40" s="303">
        <f>E30+E21</f>
        <v>0</v>
      </c>
      <c r="F40" s="314">
        <f>B40*E40/100</f>
        <v>0</v>
      </c>
      <c r="G40" s="303">
        <f>G30+G21</f>
        <v>0</v>
      </c>
      <c r="H40" s="314">
        <f>B40*G40/100</f>
        <v>0</v>
      </c>
      <c r="I40" s="304"/>
      <c r="J40" s="304"/>
      <c r="K40" s="304"/>
      <c r="L40" s="304"/>
      <c r="M40" s="305"/>
      <c r="N40" s="303">
        <f>N30+N21</f>
        <v>0</v>
      </c>
      <c r="O40" s="314">
        <f>B40*N40/100</f>
        <v>0</v>
      </c>
    </row>
    <row r="41" spans="1:44">
      <c r="A41" s="7"/>
      <c r="B41" s="7"/>
      <c r="C41" s="7"/>
      <c r="D41" s="7"/>
      <c r="E41" s="7"/>
      <c r="F41" s="7"/>
      <c r="G41" s="7"/>
      <c r="H41" s="7"/>
      <c r="I41" s="306"/>
      <c r="J41" s="306"/>
      <c r="K41" s="306"/>
      <c r="L41" s="306"/>
      <c r="M41" s="307"/>
      <c r="N41" s="7"/>
    </row>
    <row r="42" spans="1:44" ht="15">
      <c r="A42" s="878" t="s">
        <v>633</v>
      </c>
      <c r="B42" s="878"/>
      <c r="C42" s="878"/>
      <c r="D42" s="878"/>
      <c r="E42" s="878"/>
      <c r="F42" s="878"/>
      <c r="G42" s="878"/>
      <c r="H42" s="878"/>
      <c r="I42" s="878"/>
      <c r="J42" s="878"/>
      <c r="K42" s="878"/>
      <c r="L42" s="878"/>
      <c r="M42" s="878"/>
      <c r="N42" s="878"/>
    </row>
    <row r="43" spans="1:44" ht="45">
      <c r="A43" s="316" t="s">
        <v>593</v>
      </c>
      <c r="B43" s="316" t="s">
        <v>594</v>
      </c>
      <c r="C43" s="316" t="s">
        <v>589</v>
      </c>
      <c r="D43" s="316" t="s">
        <v>595</v>
      </c>
      <c r="E43" s="316" t="s">
        <v>589</v>
      </c>
      <c r="F43" s="316" t="s">
        <v>596</v>
      </c>
      <c r="G43" s="316" t="s">
        <v>589</v>
      </c>
      <c r="H43" s="316" t="s">
        <v>597</v>
      </c>
      <c r="I43" s="317"/>
      <c r="J43" s="317"/>
      <c r="K43" s="317"/>
      <c r="L43" s="317"/>
      <c r="M43" s="316" t="s">
        <v>597</v>
      </c>
      <c r="N43" s="316" t="s">
        <v>589</v>
      </c>
    </row>
    <row r="44" spans="1:44">
      <c r="A44" s="309">
        <f>A34+A25</f>
        <v>119838668.808</v>
      </c>
      <c r="B44" s="309">
        <f>B34+B25</f>
        <v>34848791</v>
      </c>
      <c r="C44" s="312">
        <f>A44*B44/100</f>
        <v>41762327230082.109</v>
      </c>
      <c r="D44" s="309">
        <f>D34+D25</f>
        <v>34848791</v>
      </c>
      <c r="E44" s="314">
        <f>A44*D44/100</f>
        <v>41762327230082.109</v>
      </c>
      <c r="F44" s="309">
        <f>F34+F25</f>
        <v>34848791</v>
      </c>
      <c r="G44" s="314">
        <f>A44*F44/100</f>
        <v>41762327230082.109</v>
      </c>
      <c r="H44" s="309">
        <f>H34+H25</f>
        <v>0</v>
      </c>
      <c r="I44" s="304"/>
      <c r="J44" s="304"/>
      <c r="K44" s="304"/>
      <c r="L44" s="304"/>
      <c r="M44" s="325" t="e">
        <f>#REF!+M34+M25</f>
        <v>#REF!</v>
      </c>
      <c r="N44" s="314">
        <f>A44*H44/100</f>
        <v>0</v>
      </c>
    </row>
    <row r="45" spans="1:44">
      <c r="A45" s="303"/>
      <c r="B45" s="303"/>
      <c r="C45" s="303"/>
      <c r="D45" s="303"/>
      <c r="E45" s="303"/>
      <c r="F45" s="303"/>
      <c r="G45" s="303"/>
      <c r="H45" s="303"/>
      <c r="I45" s="304"/>
      <c r="J45" s="304"/>
      <c r="K45" s="304"/>
      <c r="L45" s="304"/>
      <c r="M45" s="305"/>
      <c r="N45" s="303"/>
    </row>
    <row r="46" spans="1:44">
      <c r="I46" s="2"/>
      <c r="M46" s="5"/>
      <c r="N46" s="3"/>
    </row>
    <row r="47" spans="1:44">
      <c r="A47" s="5"/>
      <c r="H47" s="7"/>
      <c r="J47" s="8"/>
      <c r="K47" s="8"/>
      <c r="L47" s="8"/>
      <c r="M47" s="8"/>
      <c r="N47" s="8"/>
      <c r="O47" s="8"/>
    </row>
    <row r="48" spans="1:44">
      <c r="A48" s="5"/>
      <c r="H48" s="7"/>
      <c r="J48" s="8"/>
      <c r="K48" s="8"/>
      <c r="L48" s="8"/>
      <c r="M48" s="8"/>
      <c r="N48" s="8"/>
      <c r="O48" s="8"/>
    </row>
    <row r="49" spans="1:15">
      <c r="A49" s="5"/>
      <c r="H49" s="7"/>
      <c r="J49" s="8"/>
      <c r="K49" s="8"/>
      <c r="L49" s="8"/>
      <c r="M49" s="8"/>
      <c r="N49" s="8"/>
      <c r="O49" s="8"/>
    </row>
  </sheetData>
  <mergeCells count="48">
    <mergeCell ref="A4:AR4"/>
    <mergeCell ref="A10:N10"/>
    <mergeCell ref="A13:N13"/>
    <mergeCell ref="A19:O19"/>
    <mergeCell ref="A23:N23"/>
    <mergeCell ref="I8:I9"/>
    <mergeCell ref="J8:J9"/>
    <mergeCell ref="K8:K9"/>
    <mergeCell ref="M8:M9"/>
    <mergeCell ref="N8:N9"/>
    <mergeCell ref="A5:AR5"/>
    <mergeCell ref="O6:O7"/>
    <mergeCell ref="P6:P7"/>
    <mergeCell ref="Q6:Q7"/>
    <mergeCell ref="A8:A9"/>
    <mergeCell ref="B8:B9"/>
    <mergeCell ref="G8:G9"/>
    <mergeCell ref="H8:H9"/>
    <mergeCell ref="A28:O28"/>
    <mergeCell ref="G11:G12"/>
    <mergeCell ref="M11:M12"/>
    <mergeCell ref="A11:A12"/>
    <mergeCell ref="B11:B12"/>
    <mergeCell ref="C11:C12"/>
    <mergeCell ref="D11:D12"/>
    <mergeCell ref="E11:E12"/>
    <mergeCell ref="F11:F12"/>
    <mergeCell ref="H6:K6"/>
    <mergeCell ref="L6:L7"/>
    <mergeCell ref="M6:M7"/>
    <mergeCell ref="N6:N7"/>
    <mergeCell ref="AS8:AS12"/>
    <mergeCell ref="A1:AR1"/>
    <mergeCell ref="AT1:AX1"/>
    <mergeCell ref="A2:AR2"/>
    <mergeCell ref="B3:AR3"/>
    <mergeCell ref="A42:N42"/>
    <mergeCell ref="A38:O38"/>
    <mergeCell ref="A32:N32"/>
    <mergeCell ref="AR6:AR7"/>
    <mergeCell ref="R6:R7"/>
    <mergeCell ref="S6:S7"/>
    <mergeCell ref="T6:T7"/>
    <mergeCell ref="U6:X6"/>
    <mergeCell ref="Y6:AE6"/>
    <mergeCell ref="AQ6:AQ7"/>
    <mergeCell ref="A6:B6"/>
    <mergeCell ref="C6:F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6EADE-7507-4BEE-81FA-0DCADC9C524C}">
  <dimension ref="A1:AY51"/>
  <sheetViews>
    <sheetView topLeftCell="O4" zoomScale="60" zoomScaleNormal="60" workbookViewId="0">
      <selection activeCell="Y15" sqref="Y15:Y18"/>
    </sheetView>
  </sheetViews>
  <sheetFormatPr baseColWidth="10" defaultColWidth="11.42578125" defaultRowHeight="14.25"/>
  <cols>
    <col min="1" max="1" width="32.42578125" style="3" customWidth="1"/>
    <col min="2" max="2" width="28.42578125" style="3" customWidth="1"/>
    <col min="3" max="3" width="24" style="3" customWidth="1"/>
    <col min="4" max="4" width="30.42578125" style="3" customWidth="1"/>
    <col min="5" max="5" width="24.42578125" style="3" customWidth="1"/>
    <col min="6" max="6" width="18.42578125" style="3" customWidth="1"/>
    <col min="7" max="7" width="20.28515625" style="3" customWidth="1"/>
    <col min="8" max="8" width="37.42578125" style="3" customWidth="1"/>
    <col min="9" max="9" width="15" style="3" hidden="1" customWidth="1"/>
    <col min="10" max="11" width="12.7109375" style="2" hidden="1" customWidth="1"/>
    <col min="12" max="12" width="38.42578125" style="2" hidden="1" customWidth="1"/>
    <col min="13" max="13" width="57.42578125" style="2" hidden="1" customWidth="1"/>
    <col min="14" max="14" width="38.140625" style="5" customWidth="1"/>
    <col min="15" max="16" width="15" style="3" customWidth="1"/>
    <col min="17" max="17" width="16.28515625" style="3" customWidth="1"/>
    <col min="18" max="18" width="16.7109375" style="3" customWidth="1"/>
    <col min="19" max="19" width="16.85546875" style="3" customWidth="1"/>
    <col min="20" max="20" width="18" style="3" customWidth="1"/>
    <col min="21" max="21" width="20.140625" style="7" customWidth="1"/>
    <col min="22" max="22" width="21.42578125" style="3" customWidth="1"/>
    <col min="23" max="24" width="27.7109375" style="8" customWidth="1"/>
    <col min="25" max="25" width="25.42578125" style="8" bestFit="1" customWidth="1"/>
    <col min="26" max="35" width="25.42578125" style="8" customWidth="1"/>
    <col min="36" max="38" width="34.28515625" style="8" customWidth="1"/>
    <col min="39" max="43" width="43.85546875" style="8" customWidth="1"/>
    <col min="44" max="44" width="20" style="3" customWidth="1"/>
    <col min="45" max="45" width="20.140625" style="3" customWidth="1"/>
    <col min="46" max="46" width="30.28515625" style="2" hidden="1" customWidth="1"/>
    <col min="47" max="48" width="17.42578125" style="2" customWidth="1"/>
    <col min="49" max="49" width="21.140625" style="2" customWidth="1"/>
    <col min="50" max="50" width="16.7109375" style="2" customWidth="1"/>
    <col min="51" max="51" width="20.140625" style="2" customWidth="1"/>
    <col min="52" max="16384" width="11.42578125" style="2"/>
  </cols>
  <sheetData>
    <row r="1" spans="1:51" s="218" customFormat="1" ht="30.75" customHeight="1" thickTop="1" thickBot="1">
      <c r="A1" s="807"/>
      <c r="B1" s="807"/>
      <c r="C1" s="807"/>
      <c r="D1" s="807"/>
      <c r="E1" s="807"/>
      <c r="F1" s="807"/>
      <c r="G1" s="807"/>
      <c r="H1" s="807"/>
      <c r="I1" s="807"/>
      <c r="J1" s="807"/>
      <c r="K1" s="807"/>
      <c r="L1" s="807"/>
      <c r="M1" s="807"/>
      <c r="N1" s="807"/>
      <c r="O1" s="807"/>
      <c r="P1" s="807"/>
      <c r="Q1" s="807"/>
      <c r="R1" s="807"/>
      <c r="S1" s="807"/>
      <c r="T1" s="807"/>
      <c r="U1" s="807"/>
      <c r="V1" s="807"/>
      <c r="W1" s="807"/>
      <c r="X1" s="807"/>
      <c r="Y1" s="807"/>
      <c r="Z1" s="807"/>
      <c r="AA1" s="807"/>
      <c r="AB1" s="807"/>
      <c r="AC1" s="807"/>
      <c r="AD1" s="807"/>
      <c r="AE1" s="807"/>
      <c r="AF1" s="807"/>
      <c r="AG1" s="807"/>
      <c r="AH1" s="807"/>
      <c r="AI1" s="807"/>
      <c r="AJ1" s="807"/>
      <c r="AK1" s="807"/>
      <c r="AL1" s="807"/>
      <c r="AM1" s="807"/>
      <c r="AN1" s="807"/>
      <c r="AO1" s="807"/>
      <c r="AP1" s="807"/>
      <c r="AQ1" s="807"/>
      <c r="AR1" s="807"/>
      <c r="AS1" s="807"/>
      <c r="AT1" s="24"/>
      <c r="AU1" s="790" t="s">
        <v>34</v>
      </c>
      <c r="AV1" s="790"/>
      <c r="AW1" s="790"/>
      <c r="AX1" s="790"/>
      <c r="AY1" s="791"/>
    </row>
    <row r="2" spans="1:51" s="218" customFormat="1" ht="27.95" customHeight="1" thickTop="1" thickBot="1">
      <c r="A2" s="774"/>
      <c r="B2" s="774"/>
      <c r="C2" s="774"/>
      <c r="D2" s="774"/>
      <c r="E2" s="774"/>
      <c r="F2" s="774"/>
      <c r="G2" s="774"/>
      <c r="H2" s="774"/>
      <c r="I2" s="774"/>
      <c r="J2" s="774"/>
      <c r="K2" s="774"/>
      <c r="L2" s="774"/>
      <c r="M2" s="774"/>
      <c r="N2" s="774"/>
      <c r="O2" s="774"/>
      <c r="P2" s="774"/>
      <c r="Q2" s="774"/>
      <c r="R2" s="774"/>
      <c r="S2" s="774"/>
      <c r="T2" s="774"/>
      <c r="U2" s="774"/>
      <c r="V2" s="774"/>
      <c r="W2" s="774"/>
      <c r="X2" s="774"/>
      <c r="Y2" s="774"/>
      <c r="Z2" s="774"/>
      <c r="AA2" s="774"/>
      <c r="AB2" s="774"/>
      <c r="AC2" s="774"/>
      <c r="AD2" s="774"/>
      <c r="AE2" s="774"/>
      <c r="AF2" s="774"/>
      <c r="AG2" s="774"/>
      <c r="AH2" s="774"/>
      <c r="AI2" s="774"/>
      <c r="AJ2" s="774"/>
      <c r="AK2" s="774"/>
      <c r="AL2" s="774"/>
      <c r="AM2" s="774"/>
      <c r="AN2" s="774"/>
      <c r="AO2" s="774"/>
      <c r="AP2" s="774"/>
      <c r="AQ2" s="774"/>
      <c r="AR2" s="774"/>
      <c r="AS2" s="774"/>
      <c r="AT2" s="24"/>
      <c r="AU2" s="294" t="s">
        <v>35</v>
      </c>
      <c r="AV2" s="22" t="s">
        <v>36</v>
      </c>
      <c r="AW2" s="18" t="s">
        <v>37</v>
      </c>
      <c r="AX2" s="18" t="s">
        <v>38</v>
      </c>
      <c r="AY2" s="18" t="s">
        <v>29</v>
      </c>
    </row>
    <row r="3" spans="1:51" s="218" customFormat="1" ht="25.5" customHeight="1" thickTop="1" thickBot="1">
      <c r="A3" s="297"/>
      <c r="B3" s="920" t="s">
        <v>618</v>
      </c>
      <c r="C3" s="921"/>
      <c r="D3" s="921"/>
      <c r="E3" s="921"/>
      <c r="F3" s="921"/>
      <c r="G3" s="921"/>
      <c r="H3" s="921"/>
      <c r="I3" s="921"/>
      <c r="J3" s="921"/>
      <c r="K3" s="921"/>
      <c r="L3" s="921"/>
      <c r="M3" s="921"/>
      <c r="N3" s="921"/>
      <c r="O3" s="921"/>
      <c r="P3" s="921"/>
      <c r="Q3" s="921"/>
      <c r="R3" s="921"/>
      <c r="S3" s="921"/>
      <c r="T3" s="921"/>
      <c r="U3" s="921"/>
      <c r="V3" s="921"/>
      <c r="W3" s="921"/>
      <c r="X3" s="921"/>
      <c r="Y3" s="921"/>
      <c r="Z3" s="921"/>
      <c r="AA3" s="921"/>
      <c r="AB3" s="921"/>
      <c r="AC3" s="921"/>
      <c r="AD3" s="921"/>
      <c r="AE3" s="921"/>
      <c r="AF3" s="921"/>
      <c r="AG3" s="921"/>
      <c r="AH3" s="921"/>
      <c r="AI3" s="921"/>
      <c r="AJ3" s="921"/>
      <c r="AK3" s="921"/>
      <c r="AL3" s="921"/>
      <c r="AM3" s="921"/>
      <c r="AN3" s="921"/>
      <c r="AO3" s="921"/>
      <c r="AP3" s="921"/>
      <c r="AQ3" s="921"/>
      <c r="AR3" s="921"/>
      <c r="AS3" s="922"/>
      <c r="AT3" s="25"/>
      <c r="AU3" s="30"/>
      <c r="AV3" s="23"/>
      <c r="AW3" s="19"/>
      <c r="AX3" s="20"/>
      <c r="AY3" s="21"/>
    </row>
    <row r="4" spans="1:51" s="218" customFormat="1" ht="27.95" customHeight="1" thickTop="1" thickBot="1">
      <c r="A4" s="923" t="s">
        <v>619</v>
      </c>
      <c r="B4" s="924"/>
      <c r="C4" s="924"/>
      <c r="D4" s="924"/>
      <c r="E4" s="924"/>
      <c r="F4" s="924"/>
      <c r="G4" s="924"/>
      <c r="H4" s="924"/>
      <c r="I4" s="924"/>
      <c r="J4" s="924"/>
      <c r="K4" s="924"/>
      <c r="L4" s="924"/>
      <c r="M4" s="924"/>
      <c r="N4" s="924"/>
      <c r="O4" s="924"/>
      <c r="P4" s="924"/>
      <c r="Q4" s="924"/>
      <c r="R4" s="924"/>
      <c r="S4" s="924"/>
      <c r="T4" s="924"/>
      <c r="U4" s="924"/>
      <c r="V4" s="924"/>
      <c r="W4" s="924"/>
      <c r="X4" s="924"/>
      <c r="Y4" s="924"/>
      <c r="Z4" s="924"/>
      <c r="AA4" s="924"/>
      <c r="AB4" s="924"/>
      <c r="AC4" s="924"/>
      <c r="AD4" s="924"/>
      <c r="AE4" s="924"/>
      <c r="AF4" s="924"/>
      <c r="AG4" s="924"/>
      <c r="AH4" s="924"/>
      <c r="AI4" s="924"/>
      <c r="AJ4" s="924"/>
      <c r="AK4" s="924"/>
      <c r="AL4" s="924"/>
      <c r="AM4" s="924"/>
      <c r="AN4" s="924"/>
      <c r="AO4" s="924"/>
      <c r="AP4" s="924"/>
      <c r="AQ4" s="924"/>
      <c r="AR4" s="924"/>
      <c r="AS4" s="925"/>
      <c r="AT4" s="25"/>
      <c r="AU4" s="30"/>
      <c r="AV4" s="23"/>
      <c r="AW4" s="19"/>
      <c r="AX4" s="20"/>
      <c r="AY4" s="21"/>
    </row>
    <row r="5" spans="1:51" s="218" customFormat="1" ht="27.95" customHeight="1" thickTop="1" thickBot="1">
      <c r="A5" s="792"/>
      <c r="B5" s="792"/>
      <c r="C5" s="792"/>
      <c r="D5" s="792"/>
      <c r="E5" s="792"/>
      <c r="F5" s="792"/>
      <c r="G5" s="792"/>
      <c r="H5" s="792"/>
      <c r="I5" s="792"/>
      <c r="J5" s="792"/>
      <c r="K5" s="792"/>
      <c r="L5" s="792"/>
      <c r="M5" s="792"/>
      <c r="N5" s="792"/>
      <c r="O5" s="792"/>
      <c r="P5" s="792"/>
      <c r="Q5" s="792"/>
      <c r="R5" s="792"/>
      <c r="S5" s="792"/>
      <c r="T5" s="792"/>
      <c r="U5" s="792"/>
      <c r="V5" s="792"/>
      <c r="W5" s="792"/>
      <c r="X5" s="792"/>
      <c r="Y5" s="792"/>
      <c r="Z5" s="792"/>
      <c r="AA5" s="792"/>
      <c r="AB5" s="792"/>
      <c r="AC5" s="792"/>
      <c r="AD5" s="792"/>
      <c r="AE5" s="792"/>
      <c r="AF5" s="792"/>
      <c r="AG5" s="792"/>
      <c r="AH5" s="792"/>
      <c r="AI5" s="792"/>
      <c r="AJ5" s="792"/>
      <c r="AK5" s="792"/>
      <c r="AL5" s="792"/>
      <c r="AM5" s="792"/>
      <c r="AN5" s="792"/>
      <c r="AO5" s="792"/>
      <c r="AP5" s="792"/>
      <c r="AQ5" s="792"/>
      <c r="AR5" s="792"/>
      <c r="AS5" s="792"/>
      <c r="AT5" s="165"/>
      <c r="AU5" s="30"/>
      <c r="AV5" s="23"/>
      <c r="AW5" s="19"/>
      <c r="AX5" s="20"/>
      <c r="AY5" s="21"/>
    </row>
    <row r="6" spans="1:51" ht="27.95" customHeight="1" thickBot="1">
      <c r="A6" s="794"/>
      <c r="B6" s="795"/>
      <c r="C6" s="796" t="s">
        <v>45</v>
      </c>
      <c r="D6" s="794"/>
      <c r="E6" s="794"/>
      <c r="F6" s="795"/>
      <c r="G6" s="31"/>
      <c r="H6" s="759" t="s">
        <v>311</v>
      </c>
      <c r="I6" s="759"/>
      <c r="J6" s="759"/>
      <c r="K6" s="759"/>
      <c r="L6" s="793" t="s">
        <v>44</v>
      </c>
      <c r="M6" s="793" t="s">
        <v>10</v>
      </c>
      <c r="N6" s="918" t="s">
        <v>1</v>
      </c>
      <c r="O6" s="763" t="s">
        <v>48</v>
      </c>
      <c r="P6" s="763" t="s">
        <v>2</v>
      </c>
      <c r="Q6" s="763" t="s">
        <v>3</v>
      </c>
      <c r="R6" s="763" t="s">
        <v>4</v>
      </c>
      <c r="S6" s="763" t="s">
        <v>5</v>
      </c>
      <c r="T6" s="763" t="s">
        <v>6</v>
      </c>
      <c r="U6" s="762" t="s">
        <v>7</v>
      </c>
      <c r="V6" s="762"/>
      <c r="W6" s="762"/>
      <c r="X6" s="762"/>
      <c r="Y6" s="762"/>
      <c r="Z6" s="804" t="s">
        <v>564</v>
      </c>
      <c r="AA6" s="805"/>
      <c r="AB6" s="805"/>
      <c r="AC6" s="805"/>
      <c r="AD6" s="805"/>
      <c r="AE6" s="805"/>
      <c r="AF6" s="806"/>
      <c r="AG6" s="289"/>
      <c r="AH6" s="289"/>
      <c r="AI6" s="289"/>
      <c r="AJ6" s="289"/>
      <c r="AK6" s="289"/>
      <c r="AL6" s="289"/>
      <c r="AM6" s="289"/>
      <c r="AN6" s="289"/>
      <c r="AO6" s="289"/>
      <c r="AP6" s="289"/>
      <c r="AQ6" s="289"/>
      <c r="AR6" s="763" t="s">
        <v>8</v>
      </c>
      <c r="AS6" s="755" t="s">
        <v>9</v>
      </c>
      <c r="AT6" s="166"/>
      <c r="AU6" s="22" t="s">
        <v>39</v>
      </c>
      <c r="AV6" s="17" t="s">
        <v>30</v>
      </c>
      <c r="AW6" s="18" t="s">
        <v>31</v>
      </c>
      <c r="AX6" s="18" t="s">
        <v>32</v>
      </c>
      <c r="AY6" s="18" t="s">
        <v>33</v>
      </c>
    </row>
    <row r="7" spans="1:51" ht="68.25" customHeight="1" thickTop="1" thickBot="1">
      <c r="A7" s="270" t="s">
        <v>42</v>
      </c>
      <c r="B7" s="270" t="s">
        <v>43</v>
      </c>
      <c r="C7" s="270" t="s">
        <v>11</v>
      </c>
      <c r="D7" s="270" t="s">
        <v>52</v>
      </c>
      <c r="E7" s="270" t="s">
        <v>12</v>
      </c>
      <c r="F7" s="270" t="s">
        <v>47</v>
      </c>
      <c r="G7" s="270" t="s">
        <v>41</v>
      </c>
      <c r="H7" s="32" t="s">
        <v>46</v>
      </c>
      <c r="I7" s="270" t="s">
        <v>52</v>
      </c>
      <c r="J7" s="270" t="s">
        <v>12</v>
      </c>
      <c r="K7" s="270" t="s">
        <v>47</v>
      </c>
      <c r="L7" s="793"/>
      <c r="M7" s="793"/>
      <c r="N7" s="919"/>
      <c r="O7" s="764"/>
      <c r="P7" s="764"/>
      <c r="Q7" s="764"/>
      <c r="R7" s="764"/>
      <c r="S7" s="764"/>
      <c r="T7" s="764"/>
      <c r="U7" s="270" t="s">
        <v>13</v>
      </c>
      <c r="V7" s="270" t="s">
        <v>14</v>
      </c>
      <c r="W7" s="4" t="s">
        <v>15</v>
      </c>
      <c r="X7" s="4" t="s">
        <v>702</v>
      </c>
      <c r="Y7" s="4" t="s">
        <v>16</v>
      </c>
      <c r="Z7" s="4" t="s">
        <v>565</v>
      </c>
      <c r="AA7" s="4" t="s">
        <v>566</v>
      </c>
      <c r="AB7" s="4" t="s">
        <v>567</v>
      </c>
      <c r="AC7" s="4" t="s">
        <v>568</v>
      </c>
      <c r="AD7" s="4" t="s">
        <v>569</v>
      </c>
      <c r="AE7" s="4" t="s">
        <v>570</v>
      </c>
      <c r="AF7" s="4" t="s">
        <v>571</v>
      </c>
      <c r="AG7" s="293" t="s">
        <v>572</v>
      </c>
      <c r="AH7" s="293" t="s">
        <v>573</v>
      </c>
      <c r="AI7" s="293" t="s">
        <v>574</v>
      </c>
      <c r="AJ7" s="293" t="s">
        <v>575</v>
      </c>
      <c r="AK7" s="293" t="s">
        <v>576</v>
      </c>
      <c r="AL7" s="293" t="s">
        <v>577</v>
      </c>
      <c r="AM7" s="293" t="s">
        <v>578</v>
      </c>
      <c r="AN7" s="293" t="s">
        <v>579</v>
      </c>
      <c r="AO7" s="293" t="s">
        <v>580</v>
      </c>
      <c r="AP7" s="293" t="s">
        <v>581</v>
      </c>
      <c r="AQ7" s="293" t="s">
        <v>582</v>
      </c>
      <c r="AR7" s="764"/>
      <c r="AS7" s="756" t="s">
        <v>9</v>
      </c>
      <c r="AT7" s="166"/>
    </row>
    <row r="8" spans="1:51" s="218" customFormat="1" ht="43.5" thickBot="1">
      <c r="A8" s="695" t="s">
        <v>267</v>
      </c>
      <c r="B8" s="695" t="s">
        <v>268</v>
      </c>
      <c r="C8" s="695" t="s">
        <v>320</v>
      </c>
      <c r="D8" s="695" t="s">
        <v>18</v>
      </c>
      <c r="E8" s="695">
        <v>100</v>
      </c>
      <c r="F8" s="695">
        <v>100</v>
      </c>
      <c r="G8" s="695" t="s">
        <v>269</v>
      </c>
      <c r="H8" s="695" t="s">
        <v>270</v>
      </c>
      <c r="I8" s="695" t="s">
        <v>259</v>
      </c>
      <c r="J8" s="696">
        <v>1</v>
      </c>
      <c r="K8" s="696">
        <v>1</v>
      </c>
      <c r="L8" s="138"/>
      <c r="M8" s="982" t="s">
        <v>273</v>
      </c>
      <c r="N8" s="224" t="s">
        <v>365</v>
      </c>
      <c r="O8" s="245">
        <v>1</v>
      </c>
      <c r="P8" s="285" t="s">
        <v>17</v>
      </c>
      <c r="Q8" s="245">
        <v>1</v>
      </c>
      <c r="R8" s="245">
        <v>0</v>
      </c>
      <c r="S8" s="245">
        <v>0</v>
      </c>
      <c r="T8" s="245">
        <v>0</v>
      </c>
      <c r="U8" s="695" t="s">
        <v>354</v>
      </c>
      <c r="V8" s="938"/>
      <c r="W8" s="977">
        <f>137762373+331014873</f>
        <v>468777246</v>
      </c>
      <c r="X8" s="846"/>
      <c r="Y8" s="977">
        <f>+W8+X8</f>
        <v>468777246</v>
      </c>
      <c r="Z8" s="80"/>
      <c r="AA8" s="80"/>
      <c r="AB8" s="80"/>
      <c r="AC8" s="80"/>
      <c r="AD8" s="80">
        <f>(69919112+29895215)/5</f>
        <v>19962865.399999999</v>
      </c>
      <c r="AE8" s="80">
        <v>14923578</v>
      </c>
      <c r="AF8" s="80"/>
      <c r="AG8" s="250"/>
      <c r="AH8" s="250"/>
      <c r="AI8" s="250"/>
      <c r="AJ8" s="250"/>
      <c r="AK8" s="250"/>
      <c r="AL8" s="250"/>
      <c r="AM8" s="250"/>
      <c r="AN8" s="250"/>
      <c r="AO8" s="250"/>
      <c r="AP8" s="250"/>
      <c r="AQ8" s="250"/>
      <c r="AR8" s="219" t="s">
        <v>460</v>
      </c>
      <c r="AS8" s="219" t="s">
        <v>460</v>
      </c>
      <c r="AT8" s="700" t="s">
        <v>338</v>
      </c>
    </row>
    <row r="9" spans="1:51" s="218" customFormat="1" ht="43.5" thickBot="1">
      <c r="A9" s="669"/>
      <c r="B9" s="669"/>
      <c r="C9" s="669"/>
      <c r="D9" s="669"/>
      <c r="E9" s="669"/>
      <c r="F9" s="669"/>
      <c r="G9" s="669"/>
      <c r="H9" s="669"/>
      <c r="I9" s="669"/>
      <c r="J9" s="667"/>
      <c r="K9" s="667"/>
      <c r="L9" s="139"/>
      <c r="M9" s="703"/>
      <c r="N9" s="224" t="s">
        <v>366</v>
      </c>
      <c r="O9" s="245">
        <v>1</v>
      </c>
      <c r="P9" s="285" t="s">
        <v>17</v>
      </c>
      <c r="Q9" s="245">
        <v>1</v>
      </c>
      <c r="R9" s="245">
        <v>0</v>
      </c>
      <c r="S9" s="245">
        <v>0</v>
      </c>
      <c r="T9" s="245">
        <v>0</v>
      </c>
      <c r="U9" s="669"/>
      <c r="V9" s="939"/>
      <c r="W9" s="847"/>
      <c r="X9" s="847"/>
      <c r="Y9" s="847"/>
      <c r="Z9" s="80"/>
      <c r="AA9" s="80"/>
      <c r="AB9" s="80"/>
      <c r="AC9" s="80"/>
      <c r="AD9" s="80">
        <f t="shared" ref="AD9:AD12" si="0">(69919112+29895215)/5</f>
        <v>19962865.399999999</v>
      </c>
      <c r="AE9" s="80">
        <v>14923578</v>
      </c>
      <c r="AF9" s="80"/>
      <c r="AG9" s="250"/>
      <c r="AH9" s="250"/>
      <c r="AI9" s="250"/>
      <c r="AJ9" s="250"/>
      <c r="AK9" s="250"/>
      <c r="AL9" s="250"/>
      <c r="AM9" s="250"/>
      <c r="AN9" s="250"/>
      <c r="AO9" s="250"/>
      <c r="AP9" s="250"/>
      <c r="AQ9" s="250"/>
      <c r="AR9" s="219" t="s">
        <v>460</v>
      </c>
      <c r="AS9" s="219" t="s">
        <v>460</v>
      </c>
      <c r="AT9" s="701"/>
    </row>
    <row r="10" spans="1:51" s="218" customFormat="1" ht="43.5" thickBot="1">
      <c r="A10" s="669"/>
      <c r="B10" s="669"/>
      <c r="C10" s="669"/>
      <c r="D10" s="669"/>
      <c r="E10" s="669"/>
      <c r="F10" s="669"/>
      <c r="G10" s="669"/>
      <c r="H10" s="669"/>
      <c r="I10" s="669"/>
      <c r="J10" s="667"/>
      <c r="K10" s="667"/>
      <c r="L10" s="139"/>
      <c r="M10" s="703"/>
      <c r="N10" s="224" t="s">
        <v>367</v>
      </c>
      <c r="O10" s="245">
        <v>1</v>
      </c>
      <c r="P10" s="285" t="s">
        <v>17</v>
      </c>
      <c r="Q10" s="245">
        <v>0</v>
      </c>
      <c r="R10" s="245">
        <v>1</v>
      </c>
      <c r="S10" s="245">
        <v>0</v>
      </c>
      <c r="T10" s="245">
        <v>0</v>
      </c>
      <c r="U10" s="669"/>
      <c r="V10" s="939"/>
      <c r="W10" s="847"/>
      <c r="X10" s="847"/>
      <c r="Y10" s="847"/>
      <c r="Z10" s="80"/>
      <c r="AA10" s="80"/>
      <c r="AB10" s="80"/>
      <c r="AC10" s="80"/>
      <c r="AD10" s="80">
        <f t="shared" si="0"/>
        <v>19962865.399999999</v>
      </c>
      <c r="AE10" s="80">
        <v>14923578</v>
      </c>
      <c r="AF10" s="80"/>
      <c r="AG10" s="250"/>
      <c r="AH10" s="250"/>
      <c r="AI10" s="250"/>
      <c r="AJ10" s="250"/>
      <c r="AK10" s="250"/>
      <c r="AL10" s="250"/>
      <c r="AM10" s="250"/>
      <c r="AN10" s="250"/>
      <c r="AO10" s="250"/>
      <c r="AP10" s="250"/>
      <c r="AQ10" s="250"/>
      <c r="AR10" s="219" t="s">
        <v>460</v>
      </c>
      <c r="AS10" s="219" t="s">
        <v>460</v>
      </c>
      <c r="AT10" s="701"/>
    </row>
    <row r="11" spans="1:51" s="218" customFormat="1" ht="43.5" thickBot="1">
      <c r="A11" s="669"/>
      <c r="B11" s="669"/>
      <c r="C11" s="669"/>
      <c r="D11" s="669"/>
      <c r="E11" s="669"/>
      <c r="F11" s="669"/>
      <c r="G11" s="669"/>
      <c r="H11" s="669"/>
      <c r="I11" s="669"/>
      <c r="J11" s="667"/>
      <c r="K11" s="667"/>
      <c r="L11" s="139"/>
      <c r="M11" s="703"/>
      <c r="N11" s="224" t="s">
        <v>450</v>
      </c>
      <c r="O11" s="245">
        <v>1</v>
      </c>
      <c r="P11" s="285" t="s">
        <v>17</v>
      </c>
      <c r="Q11" s="245">
        <v>0</v>
      </c>
      <c r="R11" s="245">
        <v>0</v>
      </c>
      <c r="S11" s="245">
        <v>1</v>
      </c>
      <c r="T11" s="245">
        <v>0</v>
      </c>
      <c r="U11" s="669"/>
      <c r="V11" s="939"/>
      <c r="W11" s="847"/>
      <c r="X11" s="847"/>
      <c r="Y11" s="847"/>
      <c r="Z11" s="80"/>
      <c r="AA11" s="80"/>
      <c r="AB11" s="80"/>
      <c r="AC11" s="80"/>
      <c r="AD11" s="80">
        <f t="shared" si="0"/>
        <v>19962865.399999999</v>
      </c>
      <c r="AE11" s="80">
        <v>14923578</v>
      </c>
      <c r="AF11" s="80"/>
      <c r="AG11" s="250"/>
      <c r="AH11" s="250"/>
      <c r="AI11" s="250"/>
      <c r="AJ11" s="250"/>
      <c r="AK11" s="250"/>
      <c r="AL11" s="250"/>
      <c r="AM11" s="250"/>
      <c r="AN11" s="250"/>
      <c r="AO11" s="250"/>
      <c r="AP11" s="250"/>
      <c r="AQ11" s="250"/>
      <c r="AR11" s="219" t="s">
        <v>460</v>
      </c>
      <c r="AS11" s="219" t="s">
        <v>460</v>
      </c>
      <c r="AT11" s="701"/>
    </row>
    <row r="12" spans="1:51" s="218" customFormat="1" ht="57.75" thickBot="1">
      <c r="A12" s="669"/>
      <c r="B12" s="669"/>
      <c r="C12" s="669"/>
      <c r="D12" s="669"/>
      <c r="E12" s="669"/>
      <c r="F12" s="669"/>
      <c r="G12" s="669"/>
      <c r="H12" s="669"/>
      <c r="I12" s="669"/>
      <c r="J12" s="667"/>
      <c r="K12" s="667"/>
      <c r="L12" s="139"/>
      <c r="M12" s="850"/>
      <c r="N12" s="224" t="s">
        <v>451</v>
      </c>
      <c r="O12" s="245">
        <v>100</v>
      </c>
      <c r="P12" s="245" t="s">
        <v>18</v>
      </c>
      <c r="Q12" s="245">
        <v>100</v>
      </c>
      <c r="R12" s="245">
        <v>0</v>
      </c>
      <c r="S12" s="245">
        <v>0</v>
      </c>
      <c r="T12" s="245">
        <v>0</v>
      </c>
      <c r="U12" s="697"/>
      <c r="V12" s="940"/>
      <c r="W12" s="848"/>
      <c r="X12" s="848"/>
      <c r="Y12" s="978"/>
      <c r="Z12" s="80"/>
      <c r="AA12" s="80"/>
      <c r="AB12" s="80"/>
      <c r="AC12" s="80"/>
      <c r="AD12" s="80">
        <f t="shared" si="0"/>
        <v>19962865.399999999</v>
      </c>
      <c r="AE12" s="80">
        <v>14923578</v>
      </c>
      <c r="AF12" s="80"/>
      <c r="AG12" s="250"/>
      <c r="AH12" s="250"/>
      <c r="AI12" s="250"/>
      <c r="AJ12" s="250"/>
      <c r="AK12" s="250"/>
      <c r="AL12" s="250"/>
      <c r="AM12" s="250"/>
      <c r="AN12" s="250"/>
      <c r="AO12" s="250"/>
      <c r="AP12" s="250"/>
      <c r="AQ12" s="250"/>
      <c r="AR12" s="219" t="s">
        <v>460</v>
      </c>
      <c r="AS12" s="219" t="s">
        <v>460</v>
      </c>
      <c r="AT12" s="701"/>
    </row>
    <row r="13" spans="1:51" s="218" customFormat="1" ht="43.5" thickBot="1">
      <c r="A13" s="669"/>
      <c r="B13" s="669"/>
      <c r="C13" s="669"/>
      <c r="D13" s="669"/>
      <c r="E13" s="669"/>
      <c r="F13" s="669"/>
      <c r="G13" s="669"/>
      <c r="H13" s="669"/>
      <c r="I13" s="669"/>
      <c r="J13" s="667"/>
      <c r="K13" s="667"/>
      <c r="L13" s="139"/>
      <c r="M13" s="849" t="s">
        <v>274</v>
      </c>
      <c r="N13" s="224" t="s">
        <v>371</v>
      </c>
      <c r="O13" s="245">
        <v>1</v>
      </c>
      <c r="P13" s="245" t="s">
        <v>452</v>
      </c>
      <c r="Q13" s="245">
        <v>0</v>
      </c>
      <c r="R13" s="245">
        <v>0</v>
      </c>
      <c r="S13" s="245">
        <v>0</v>
      </c>
      <c r="T13" s="245">
        <v>1</v>
      </c>
      <c r="U13" s="695" t="s">
        <v>354</v>
      </c>
      <c r="V13" s="980"/>
      <c r="W13" s="846">
        <v>168000000</v>
      </c>
      <c r="X13" s="846"/>
      <c r="Y13" s="977">
        <f>W13+X13</f>
        <v>168000000</v>
      </c>
      <c r="Z13" s="80"/>
      <c r="AA13" s="80"/>
      <c r="AB13" s="80"/>
      <c r="AC13" s="80"/>
      <c r="AD13" s="80">
        <v>8400000</v>
      </c>
      <c r="AE13" s="80">
        <v>0</v>
      </c>
      <c r="AF13" s="80"/>
      <c r="AG13" s="250"/>
      <c r="AH13" s="250"/>
      <c r="AI13" s="250"/>
      <c r="AJ13" s="250"/>
      <c r="AK13" s="250"/>
      <c r="AL13" s="250"/>
      <c r="AM13" s="250"/>
      <c r="AN13" s="250"/>
      <c r="AO13" s="250"/>
      <c r="AP13" s="250"/>
      <c r="AQ13" s="250"/>
      <c r="AR13" s="219" t="s">
        <v>460</v>
      </c>
      <c r="AS13" s="219" t="s">
        <v>460</v>
      </c>
      <c r="AT13" s="701"/>
    </row>
    <row r="14" spans="1:51" s="218" customFormat="1" ht="43.5" thickBot="1">
      <c r="A14" s="669"/>
      <c r="B14" s="669"/>
      <c r="C14" s="669"/>
      <c r="D14" s="669"/>
      <c r="E14" s="669"/>
      <c r="F14" s="669"/>
      <c r="G14" s="669"/>
      <c r="H14" s="670"/>
      <c r="I14" s="670"/>
      <c r="J14" s="674"/>
      <c r="K14" s="674"/>
      <c r="L14" s="139"/>
      <c r="M14" s="850"/>
      <c r="N14" s="199" t="s">
        <v>372</v>
      </c>
      <c r="O14" s="245">
        <v>1</v>
      </c>
      <c r="P14" s="245" t="s">
        <v>452</v>
      </c>
      <c r="Q14" s="245">
        <v>0</v>
      </c>
      <c r="R14" s="245">
        <v>0</v>
      </c>
      <c r="S14" s="245">
        <v>1</v>
      </c>
      <c r="T14" s="245">
        <v>0</v>
      </c>
      <c r="U14" s="670"/>
      <c r="V14" s="940"/>
      <c r="W14" s="848"/>
      <c r="X14" s="848"/>
      <c r="Y14" s="978"/>
      <c r="Z14" s="80"/>
      <c r="AA14" s="80"/>
      <c r="AB14" s="80"/>
      <c r="AC14" s="80"/>
      <c r="AD14" s="80">
        <v>8400000</v>
      </c>
      <c r="AE14" s="80">
        <v>0</v>
      </c>
      <c r="AF14" s="80"/>
      <c r="AG14" s="250"/>
      <c r="AH14" s="250"/>
      <c r="AI14" s="250"/>
      <c r="AJ14" s="250"/>
      <c r="AK14" s="250"/>
      <c r="AL14" s="250"/>
      <c r="AM14" s="250"/>
      <c r="AN14" s="250"/>
      <c r="AO14" s="250"/>
      <c r="AP14" s="250"/>
      <c r="AQ14" s="250"/>
      <c r="AR14" s="219" t="s">
        <v>460</v>
      </c>
      <c r="AS14" s="219" t="s">
        <v>460</v>
      </c>
      <c r="AT14" s="701"/>
    </row>
    <row r="15" spans="1:51" s="218" customFormat="1" ht="43.5" thickBot="1">
      <c r="A15" s="669"/>
      <c r="B15" s="669"/>
      <c r="C15" s="669"/>
      <c r="D15" s="669"/>
      <c r="E15" s="669"/>
      <c r="F15" s="669"/>
      <c r="G15" s="669"/>
      <c r="H15" s="668" t="s">
        <v>271</v>
      </c>
      <c r="I15" s="668" t="s">
        <v>17</v>
      </c>
      <c r="J15" s="666" t="s">
        <v>51</v>
      </c>
      <c r="K15" s="666">
        <v>1</v>
      </c>
      <c r="L15" s="861"/>
      <c r="M15" s="666" t="s">
        <v>275</v>
      </c>
      <c r="N15" s="224" t="s">
        <v>453</v>
      </c>
      <c r="O15" s="245">
        <v>1</v>
      </c>
      <c r="P15" s="245" t="s">
        <v>17</v>
      </c>
      <c r="Q15" s="245">
        <v>0</v>
      </c>
      <c r="R15" s="245">
        <v>1</v>
      </c>
      <c r="S15" s="245">
        <v>0</v>
      </c>
      <c r="T15" s="245">
        <v>0</v>
      </c>
      <c r="U15" s="668"/>
      <c r="V15" s="980"/>
      <c r="W15" s="846"/>
      <c r="X15" s="487"/>
      <c r="Y15" s="977">
        <f>W18</f>
        <v>0</v>
      </c>
      <c r="Z15" s="80"/>
      <c r="AA15" s="80"/>
      <c r="AB15" s="80"/>
      <c r="AC15" s="80"/>
      <c r="AD15" s="80"/>
      <c r="AE15" s="80"/>
      <c r="AF15" s="80"/>
      <c r="AG15" s="250"/>
      <c r="AH15" s="250"/>
      <c r="AI15" s="250"/>
      <c r="AJ15" s="250"/>
      <c r="AK15" s="250"/>
      <c r="AL15" s="250"/>
      <c r="AM15" s="250"/>
      <c r="AN15" s="250"/>
      <c r="AO15" s="250"/>
      <c r="AP15" s="250"/>
      <c r="AQ15" s="250"/>
      <c r="AR15" s="219" t="s">
        <v>460</v>
      </c>
      <c r="AS15" s="219" t="s">
        <v>460</v>
      </c>
      <c r="AT15" s="701"/>
    </row>
    <row r="16" spans="1:51" s="218" customFormat="1" ht="43.5" thickBot="1">
      <c r="A16" s="669"/>
      <c r="B16" s="669"/>
      <c r="C16" s="669"/>
      <c r="D16" s="669"/>
      <c r="E16" s="669"/>
      <c r="F16" s="669"/>
      <c r="G16" s="669"/>
      <c r="H16" s="669"/>
      <c r="I16" s="669"/>
      <c r="J16" s="667"/>
      <c r="K16" s="667"/>
      <c r="L16" s="862"/>
      <c r="M16" s="667"/>
      <c r="N16" s="224" t="s">
        <v>368</v>
      </c>
      <c r="O16" s="245">
        <v>1</v>
      </c>
      <c r="P16" s="245" t="s">
        <v>17</v>
      </c>
      <c r="Q16" s="245">
        <v>0</v>
      </c>
      <c r="R16" s="245">
        <v>1</v>
      </c>
      <c r="S16" s="245">
        <v>0</v>
      </c>
      <c r="T16" s="245">
        <v>0</v>
      </c>
      <c r="U16" s="669"/>
      <c r="V16" s="939"/>
      <c r="W16" s="847"/>
      <c r="X16" s="487"/>
      <c r="Y16" s="847"/>
      <c r="Z16" s="80"/>
      <c r="AA16" s="80"/>
      <c r="AB16" s="80"/>
      <c r="AC16" s="80"/>
      <c r="AD16" s="80"/>
      <c r="AE16" s="80"/>
      <c r="AF16" s="80"/>
      <c r="AG16" s="250"/>
      <c r="AH16" s="250"/>
      <c r="AI16" s="250"/>
      <c r="AJ16" s="250"/>
      <c r="AK16" s="250"/>
      <c r="AL16" s="250"/>
      <c r="AM16" s="250"/>
      <c r="AN16" s="250"/>
      <c r="AO16" s="250"/>
      <c r="AP16" s="250"/>
      <c r="AQ16" s="250"/>
      <c r="AR16" s="219" t="s">
        <v>460</v>
      </c>
      <c r="AS16" s="219" t="s">
        <v>460</v>
      </c>
      <c r="AT16" s="701"/>
    </row>
    <row r="17" spans="1:46" s="218" customFormat="1" ht="43.5" thickBot="1">
      <c r="A17" s="669"/>
      <c r="B17" s="669"/>
      <c r="C17" s="669"/>
      <c r="D17" s="669"/>
      <c r="E17" s="669"/>
      <c r="F17" s="669"/>
      <c r="G17" s="669"/>
      <c r="H17" s="669"/>
      <c r="I17" s="669"/>
      <c r="J17" s="667"/>
      <c r="K17" s="667"/>
      <c r="L17" s="862"/>
      <c r="M17" s="667"/>
      <c r="N17" s="224" t="s">
        <v>369</v>
      </c>
      <c r="O17" s="245">
        <v>2</v>
      </c>
      <c r="P17" s="245" t="s">
        <v>17</v>
      </c>
      <c r="Q17" s="245">
        <v>0</v>
      </c>
      <c r="R17" s="245">
        <v>1</v>
      </c>
      <c r="S17" s="245">
        <v>1</v>
      </c>
      <c r="T17" s="245">
        <v>0</v>
      </c>
      <c r="U17" s="669"/>
      <c r="V17" s="939"/>
      <c r="W17" s="847"/>
      <c r="X17" s="487"/>
      <c r="Y17" s="847"/>
      <c r="Z17" s="80"/>
      <c r="AA17" s="80"/>
      <c r="AB17" s="80"/>
      <c r="AC17" s="80"/>
      <c r="AD17" s="80"/>
      <c r="AE17" s="80"/>
      <c r="AF17" s="80"/>
      <c r="AG17" s="250"/>
      <c r="AH17" s="250"/>
      <c r="AI17" s="250"/>
      <c r="AJ17" s="250"/>
      <c r="AK17" s="250"/>
      <c r="AL17" s="250"/>
      <c r="AM17" s="250"/>
      <c r="AN17" s="250"/>
      <c r="AO17" s="250"/>
      <c r="AP17" s="250"/>
      <c r="AQ17" s="250"/>
      <c r="AR17" s="219" t="s">
        <v>460</v>
      </c>
      <c r="AS17" s="219" t="s">
        <v>460</v>
      </c>
      <c r="AT17" s="701"/>
    </row>
    <row r="18" spans="1:46" s="218" customFormat="1" ht="52.5" customHeight="1" thickBot="1">
      <c r="A18" s="669"/>
      <c r="B18" s="669"/>
      <c r="C18" s="669"/>
      <c r="D18" s="669"/>
      <c r="E18" s="669"/>
      <c r="F18" s="669"/>
      <c r="G18" s="669"/>
      <c r="H18" s="670"/>
      <c r="I18" s="670"/>
      <c r="J18" s="674"/>
      <c r="K18" s="674"/>
      <c r="L18" s="979"/>
      <c r="M18" s="674"/>
      <c r="N18" s="224" t="s">
        <v>370</v>
      </c>
      <c r="O18" s="245">
        <v>1</v>
      </c>
      <c r="P18" s="245" t="s">
        <v>17</v>
      </c>
      <c r="Q18" s="245">
        <v>0</v>
      </c>
      <c r="R18" s="245">
        <v>0</v>
      </c>
      <c r="S18" s="245">
        <v>0</v>
      </c>
      <c r="T18" s="245">
        <v>1</v>
      </c>
      <c r="U18" s="670"/>
      <c r="V18" s="940"/>
      <c r="W18" s="848"/>
      <c r="X18" s="487"/>
      <c r="Y18" s="978"/>
      <c r="Z18" s="80"/>
      <c r="AA18" s="80"/>
      <c r="AB18" s="80"/>
      <c r="AC18" s="80"/>
      <c r="AD18" s="80"/>
      <c r="AE18" s="80"/>
      <c r="AF18" s="80"/>
      <c r="AG18" s="250"/>
      <c r="AH18" s="250"/>
      <c r="AI18" s="250"/>
      <c r="AJ18" s="250"/>
      <c r="AK18" s="250"/>
      <c r="AL18" s="250"/>
      <c r="AM18" s="250"/>
      <c r="AN18" s="250"/>
      <c r="AO18" s="250"/>
      <c r="AP18" s="250"/>
      <c r="AQ18" s="250"/>
      <c r="AR18" s="219" t="s">
        <v>460</v>
      </c>
      <c r="AS18" s="219" t="s">
        <v>460</v>
      </c>
      <c r="AT18" s="701"/>
    </row>
    <row r="19" spans="1:46" s="218" customFormat="1" ht="43.5" thickBot="1">
      <c r="A19" s="669"/>
      <c r="B19" s="669"/>
      <c r="C19" s="669"/>
      <c r="D19" s="669"/>
      <c r="E19" s="669"/>
      <c r="F19" s="669"/>
      <c r="G19" s="669"/>
      <c r="H19" s="668" t="s">
        <v>272</v>
      </c>
      <c r="I19" s="668" t="s">
        <v>18</v>
      </c>
      <c r="J19" s="666">
        <v>100</v>
      </c>
      <c r="K19" s="666">
        <v>100</v>
      </c>
      <c r="L19" s="856"/>
      <c r="M19" s="668" t="s">
        <v>454</v>
      </c>
      <c r="N19" s="224" t="s">
        <v>373</v>
      </c>
      <c r="O19" s="245">
        <v>2</v>
      </c>
      <c r="P19" s="285" t="s">
        <v>17</v>
      </c>
      <c r="Q19" s="245">
        <v>1</v>
      </c>
      <c r="R19" s="245">
        <v>0</v>
      </c>
      <c r="S19" s="245">
        <v>1</v>
      </c>
      <c r="T19" s="245">
        <v>0</v>
      </c>
      <c r="U19" s="668"/>
      <c r="V19" s="980"/>
      <c r="W19" s="846"/>
      <c r="X19" s="487"/>
      <c r="Y19" s="977">
        <f>W23</f>
        <v>0</v>
      </c>
      <c r="Z19" s="80"/>
      <c r="AA19" s="80"/>
      <c r="AB19" s="80"/>
      <c r="AC19" s="80"/>
      <c r="AD19" s="80"/>
      <c r="AE19" s="80"/>
      <c r="AF19" s="80"/>
      <c r="AG19" s="250"/>
      <c r="AH19" s="250"/>
      <c r="AI19" s="250"/>
      <c r="AJ19" s="250"/>
      <c r="AK19" s="250"/>
      <c r="AL19" s="250"/>
      <c r="AM19" s="250"/>
      <c r="AN19" s="250"/>
      <c r="AO19" s="250"/>
      <c r="AP19" s="250"/>
      <c r="AQ19" s="250"/>
      <c r="AR19" s="219" t="s">
        <v>460</v>
      </c>
      <c r="AS19" s="219" t="s">
        <v>460</v>
      </c>
      <c r="AT19" s="701"/>
    </row>
    <row r="20" spans="1:46" s="218" customFormat="1" ht="52.5" customHeight="1" thickBot="1">
      <c r="A20" s="669"/>
      <c r="B20" s="669"/>
      <c r="C20" s="669"/>
      <c r="D20" s="669"/>
      <c r="E20" s="669"/>
      <c r="F20" s="669"/>
      <c r="G20" s="669"/>
      <c r="H20" s="669"/>
      <c r="I20" s="669"/>
      <c r="J20" s="667"/>
      <c r="K20" s="667"/>
      <c r="L20" s="856"/>
      <c r="M20" s="669"/>
      <c r="N20" s="224" t="s">
        <v>374</v>
      </c>
      <c r="O20" s="245">
        <v>2</v>
      </c>
      <c r="P20" s="245" t="s">
        <v>17</v>
      </c>
      <c r="Q20" s="245">
        <v>1</v>
      </c>
      <c r="R20" s="245">
        <v>0</v>
      </c>
      <c r="S20" s="245">
        <v>1</v>
      </c>
      <c r="T20" s="245">
        <v>0</v>
      </c>
      <c r="U20" s="669"/>
      <c r="V20" s="939"/>
      <c r="W20" s="847"/>
      <c r="X20" s="487"/>
      <c r="Y20" s="847"/>
      <c r="Z20" s="80"/>
      <c r="AA20" s="80"/>
      <c r="AB20" s="80"/>
      <c r="AC20" s="80"/>
      <c r="AD20" s="80"/>
      <c r="AE20" s="80"/>
      <c r="AF20" s="80"/>
      <c r="AG20" s="250"/>
      <c r="AH20" s="250"/>
      <c r="AI20" s="250"/>
      <c r="AJ20" s="250"/>
      <c r="AK20" s="250"/>
      <c r="AL20" s="250"/>
      <c r="AM20" s="250"/>
      <c r="AN20" s="250"/>
      <c r="AO20" s="250"/>
      <c r="AP20" s="250"/>
      <c r="AQ20" s="250"/>
      <c r="AR20" s="219" t="s">
        <v>460</v>
      </c>
      <c r="AS20" s="219" t="s">
        <v>460</v>
      </c>
      <c r="AT20" s="701"/>
    </row>
    <row r="21" spans="1:46" s="218" customFormat="1" ht="52.5" customHeight="1" thickBot="1">
      <c r="A21" s="669"/>
      <c r="B21" s="669"/>
      <c r="C21" s="669"/>
      <c r="D21" s="669"/>
      <c r="E21" s="669"/>
      <c r="F21" s="669"/>
      <c r="G21" s="669"/>
      <c r="H21" s="669"/>
      <c r="I21" s="669"/>
      <c r="J21" s="667"/>
      <c r="K21" s="667"/>
      <c r="L21" s="856"/>
      <c r="M21" s="669"/>
      <c r="N21" s="224" t="s">
        <v>376</v>
      </c>
      <c r="O21" s="245">
        <v>1</v>
      </c>
      <c r="P21" s="245" t="s">
        <v>17</v>
      </c>
      <c r="Q21" s="245">
        <v>0</v>
      </c>
      <c r="R21" s="245">
        <v>1</v>
      </c>
      <c r="S21" s="245">
        <v>0</v>
      </c>
      <c r="T21" s="245">
        <v>0</v>
      </c>
      <c r="U21" s="669"/>
      <c r="V21" s="939"/>
      <c r="W21" s="847"/>
      <c r="X21" s="487"/>
      <c r="Y21" s="847"/>
      <c r="Z21" s="80"/>
      <c r="AA21" s="80"/>
      <c r="AB21" s="80"/>
      <c r="AC21" s="80"/>
      <c r="AD21" s="80"/>
      <c r="AE21" s="80"/>
      <c r="AF21" s="80"/>
      <c r="AG21" s="250"/>
      <c r="AH21" s="250"/>
      <c r="AI21" s="250"/>
      <c r="AJ21" s="250"/>
      <c r="AK21" s="250"/>
      <c r="AL21" s="250"/>
      <c r="AM21" s="250"/>
      <c r="AN21" s="250"/>
      <c r="AO21" s="250"/>
      <c r="AP21" s="250"/>
      <c r="AQ21" s="250"/>
      <c r="AR21" s="219" t="s">
        <v>460</v>
      </c>
      <c r="AS21" s="219" t="s">
        <v>460</v>
      </c>
      <c r="AT21" s="701"/>
    </row>
    <row r="22" spans="1:46" s="218" customFormat="1" ht="52.5" customHeight="1" thickBot="1">
      <c r="A22" s="669"/>
      <c r="B22" s="669"/>
      <c r="C22" s="669"/>
      <c r="D22" s="669"/>
      <c r="E22" s="669"/>
      <c r="F22" s="669"/>
      <c r="G22" s="669"/>
      <c r="H22" s="669"/>
      <c r="I22" s="669"/>
      <c r="J22" s="667"/>
      <c r="K22" s="667"/>
      <c r="L22" s="856"/>
      <c r="M22" s="669"/>
      <c r="N22" s="224" t="s">
        <v>375</v>
      </c>
      <c r="O22" s="245">
        <v>2</v>
      </c>
      <c r="P22" s="245" t="s">
        <v>17</v>
      </c>
      <c r="Q22" s="245">
        <v>0</v>
      </c>
      <c r="R22" s="245">
        <v>1</v>
      </c>
      <c r="S22" s="245">
        <v>0</v>
      </c>
      <c r="T22" s="245">
        <v>1</v>
      </c>
      <c r="U22" s="669"/>
      <c r="V22" s="939"/>
      <c r="W22" s="847"/>
      <c r="X22" s="487"/>
      <c r="Y22" s="847"/>
      <c r="Z22" s="80"/>
      <c r="AA22" s="80"/>
      <c r="AB22" s="80"/>
      <c r="AC22" s="80"/>
      <c r="AD22" s="80"/>
      <c r="AE22" s="80"/>
      <c r="AF22" s="80"/>
      <c r="AG22" s="250"/>
      <c r="AH22" s="250"/>
      <c r="AI22" s="250"/>
      <c r="AJ22" s="250"/>
      <c r="AK22" s="250"/>
      <c r="AL22" s="250"/>
      <c r="AM22" s="250"/>
      <c r="AN22" s="250"/>
      <c r="AO22" s="250"/>
      <c r="AP22" s="250"/>
      <c r="AQ22" s="250"/>
      <c r="AR22" s="219" t="s">
        <v>460</v>
      </c>
      <c r="AS22" s="219" t="s">
        <v>460</v>
      </c>
      <c r="AT22" s="701"/>
    </row>
    <row r="23" spans="1:46" s="218" customFormat="1" ht="72" thickBot="1">
      <c r="A23" s="669"/>
      <c r="B23" s="669"/>
      <c r="C23" s="669"/>
      <c r="D23" s="669"/>
      <c r="E23" s="669"/>
      <c r="F23" s="669"/>
      <c r="G23" s="669"/>
      <c r="H23" s="669"/>
      <c r="I23" s="669"/>
      <c r="J23" s="667"/>
      <c r="K23" s="667"/>
      <c r="L23" s="856"/>
      <c r="M23" s="697"/>
      <c r="N23" s="224" t="s">
        <v>456</v>
      </c>
      <c r="O23" s="245">
        <v>1</v>
      </c>
      <c r="P23" s="285" t="s">
        <v>17</v>
      </c>
      <c r="Q23" s="245">
        <v>0</v>
      </c>
      <c r="R23" s="245">
        <v>0</v>
      </c>
      <c r="S23" s="245">
        <v>0</v>
      </c>
      <c r="T23" s="245">
        <v>1</v>
      </c>
      <c r="U23" s="670"/>
      <c r="V23" s="940"/>
      <c r="W23" s="848"/>
      <c r="X23" s="487"/>
      <c r="Y23" s="978"/>
      <c r="Z23" s="80"/>
      <c r="AA23" s="80"/>
      <c r="AB23" s="80"/>
      <c r="AC23" s="80"/>
      <c r="AD23" s="80"/>
      <c r="AE23" s="80"/>
      <c r="AF23" s="80"/>
      <c r="AG23" s="250"/>
      <c r="AH23" s="250"/>
      <c r="AI23" s="250"/>
      <c r="AJ23" s="250"/>
      <c r="AK23" s="250"/>
      <c r="AL23" s="250"/>
      <c r="AM23" s="250"/>
      <c r="AN23" s="250"/>
      <c r="AO23" s="250"/>
      <c r="AP23" s="250"/>
      <c r="AQ23" s="250"/>
      <c r="AR23" s="219" t="s">
        <v>460</v>
      </c>
      <c r="AS23" s="219" t="s">
        <v>460</v>
      </c>
      <c r="AT23" s="701"/>
    </row>
    <row r="24" spans="1:46" s="218" customFormat="1" ht="43.5" thickBot="1">
      <c r="A24" s="669"/>
      <c r="B24" s="669"/>
      <c r="C24" s="669"/>
      <c r="D24" s="669"/>
      <c r="E24" s="669"/>
      <c r="F24" s="669"/>
      <c r="G24" s="669"/>
      <c r="H24" s="669"/>
      <c r="I24" s="669"/>
      <c r="J24" s="667"/>
      <c r="K24" s="667"/>
      <c r="L24" s="275"/>
      <c r="M24" s="695" t="s">
        <v>455</v>
      </c>
      <c r="N24" s="224" t="s">
        <v>457</v>
      </c>
      <c r="O24" s="245">
        <v>2</v>
      </c>
      <c r="P24" s="285" t="s">
        <v>17</v>
      </c>
      <c r="Q24" s="245">
        <v>0</v>
      </c>
      <c r="R24" s="245">
        <v>1</v>
      </c>
      <c r="S24" s="245">
        <v>0</v>
      </c>
      <c r="T24" s="245">
        <v>1</v>
      </c>
      <c r="U24" s="668"/>
      <c r="V24" s="980"/>
      <c r="W24" s="846"/>
      <c r="X24" s="487"/>
      <c r="Y24" s="977">
        <f>W26</f>
        <v>0</v>
      </c>
      <c r="Z24" s="80"/>
      <c r="AA24" s="80"/>
      <c r="AB24" s="80"/>
      <c r="AC24" s="80"/>
      <c r="AD24" s="80"/>
      <c r="AE24" s="80"/>
      <c r="AF24" s="80"/>
      <c r="AG24" s="250"/>
      <c r="AH24" s="250"/>
      <c r="AI24" s="250"/>
      <c r="AJ24" s="250"/>
      <c r="AK24" s="250"/>
      <c r="AL24" s="250"/>
      <c r="AM24" s="250"/>
      <c r="AN24" s="250"/>
      <c r="AO24" s="250"/>
      <c r="AP24" s="250"/>
      <c r="AQ24" s="250"/>
      <c r="AR24" s="219" t="s">
        <v>460</v>
      </c>
      <c r="AS24" s="219" t="s">
        <v>460</v>
      </c>
      <c r="AT24" s="701"/>
    </row>
    <row r="25" spans="1:46" s="218" customFormat="1" ht="43.5" thickBot="1">
      <c r="A25" s="669"/>
      <c r="B25" s="669"/>
      <c r="C25" s="669"/>
      <c r="D25" s="669"/>
      <c r="E25" s="669"/>
      <c r="F25" s="669"/>
      <c r="G25" s="669"/>
      <c r="H25" s="669"/>
      <c r="I25" s="669"/>
      <c r="J25" s="667"/>
      <c r="K25" s="667"/>
      <c r="L25" s="275"/>
      <c r="M25" s="669"/>
      <c r="N25" s="224" t="s">
        <v>458</v>
      </c>
      <c r="O25" s="245">
        <v>2</v>
      </c>
      <c r="P25" s="245" t="s">
        <v>452</v>
      </c>
      <c r="Q25" s="245">
        <v>0</v>
      </c>
      <c r="R25" s="245">
        <v>1</v>
      </c>
      <c r="S25" s="245">
        <v>0</v>
      </c>
      <c r="T25" s="245">
        <v>1</v>
      </c>
      <c r="U25" s="669"/>
      <c r="V25" s="939"/>
      <c r="W25" s="847"/>
      <c r="X25" s="487"/>
      <c r="Y25" s="847"/>
      <c r="Z25" s="80"/>
      <c r="AA25" s="80"/>
      <c r="AB25" s="80"/>
      <c r="AC25" s="80"/>
      <c r="AD25" s="80"/>
      <c r="AE25" s="80"/>
      <c r="AF25" s="80"/>
      <c r="AG25" s="250"/>
      <c r="AH25" s="250"/>
      <c r="AI25" s="250"/>
      <c r="AJ25" s="250"/>
      <c r="AK25" s="250"/>
      <c r="AL25" s="250"/>
      <c r="AM25" s="250"/>
      <c r="AN25" s="250"/>
      <c r="AO25" s="250"/>
      <c r="AP25" s="250"/>
      <c r="AQ25" s="250"/>
      <c r="AR25" s="219" t="s">
        <v>460</v>
      </c>
      <c r="AS25" s="219" t="s">
        <v>460</v>
      </c>
      <c r="AT25" s="701"/>
    </row>
    <row r="26" spans="1:46" s="218" customFormat="1" ht="42.75">
      <c r="A26" s="669"/>
      <c r="B26" s="669"/>
      <c r="C26" s="669"/>
      <c r="D26" s="669"/>
      <c r="E26" s="669"/>
      <c r="F26" s="669"/>
      <c r="G26" s="669"/>
      <c r="H26" s="669"/>
      <c r="I26" s="669"/>
      <c r="J26" s="667"/>
      <c r="K26" s="667"/>
      <c r="L26" s="351"/>
      <c r="M26" s="669"/>
      <c r="N26" s="230" t="s">
        <v>459</v>
      </c>
      <c r="O26" s="240">
        <v>100</v>
      </c>
      <c r="P26" s="240" t="s">
        <v>18</v>
      </c>
      <c r="Q26" s="240">
        <v>0</v>
      </c>
      <c r="R26" s="240">
        <v>50</v>
      </c>
      <c r="S26" s="240">
        <v>0</v>
      </c>
      <c r="T26" s="240">
        <v>50</v>
      </c>
      <c r="U26" s="669"/>
      <c r="V26" s="939"/>
      <c r="W26" s="847"/>
      <c r="X26" s="487"/>
      <c r="Y26" s="847"/>
      <c r="Z26" s="248"/>
      <c r="AA26" s="248"/>
      <c r="AB26" s="248"/>
      <c r="AC26" s="248"/>
      <c r="AD26" s="248"/>
      <c r="AE26" s="248"/>
      <c r="AF26" s="248"/>
      <c r="AG26" s="249"/>
      <c r="AH26" s="249"/>
      <c r="AI26" s="249"/>
      <c r="AJ26" s="249"/>
      <c r="AK26" s="249"/>
      <c r="AL26" s="249"/>
      <c r="AM26" s="249"/>
      <c r="AN26" s="249"/>
      <c r="AO26" s="249"/>
      <c r="AP26" s="249"/>
      <c r="AQ26" s="249"/>
      <c r="AR26" s="243" t="s">
        <v>460</v>
      </c>
      <c r="AS26" s="243" t="s">
        <v>460</v>
      </c>
      <c r="AT26" s="702"/>
    </row>
    <row r="27" spans="1:46" s="218" customFormat="1" ht="15" customHeight="1">
      <c r="A27" s="981" t="s">
        <v>607</v>
      </c>
      <c r="B27" s="981"/>
      <c r="C27" s="981"/>
      <c r="D27" s="981"/>
      <c r="E27" s="981"/>
      <c r="F27" s="981"/>
      <c r="G27" s="981"/>
      <c r="H27" s="981"/>
      <c r="I27" s="981"/>
      <c r="J27" s="981"/>
      <c r="K27" s="981"/>
      <c r="L27" s="981"/>
      <c r="M27" s="981"/>
      <c r="N27" s="981"/>
      <c r="O27" s="278">
        <f>O25+O24+O23+O22+O21+O20+O19+O18+O17+O16+O15+O14+O13+O11+O10+O9+O8</f>
        <v>23</v>
      </c>
      <c r="P27" s="331" t="s">
        <v>599</v>
      </c>
      <c r="Q27" s="331">
        <f t="shared" ref="Q27:T27" si="1">Q25+Q24+Q23+Q22+Q21+Q20+Q19+Q18+Q17+Q16+Q15+Q14+Q13+Q11+Q10+Q9+Q8</f>
        <v>4</v>
      </c>
      <c r="R27" s="331">
        <f t="shared" si="1"/>
        <v>8</v>
      </c>
      <c r="S27" s="331">
        <f t="shared" si="1"/>
        <v>5</v>
      </c>
      <c r="T27" s="331">
        <f t="shared" si="1"/>
        <v>6</v>
      </c>
      <c r="U27" s="278"/>
      <c r="V27" s="278"/>
      <c r="W27" s="948">
        <f>W24+W19+W15+W13+W8</f>
        <v>636777246</v>
      </c>
      <c r="X27" s="494"/>
      <c r="Y27" s="948">
        <f>Y24+Y19+Y15+Y13+Y8</f>
        <v>636777246</v>
      </c>
      <c r="Z27" s="426">
        <f>Z25+Z24+Z23+Z22+Z21+Z20+Z19+Z18+Z17+Z16+Z15+Z14+Z13+Z11+Z10+Z9+Z8+Z12</f>
        <v>0</v>
      </c>
      <c r="AA27" s="331">
        <f t="shared" ref="AA27:AC27" si="2">AA25+AA24+AA23+AA22+AA21+AA20+AA19+AA18+AA17+AA16+AA15+AA14+AA13+AA11+AA10+AA9+AA8</f>
        <v>0</v>
      </c>
      <c r="AB27" s="331">
        <f t="shared" si="2"/>
        <v>0</v>
      </c>
      <c r="AC27" s="331">
        <f t="shared" si="2"/>
        <v>0</v>
      </c>
      <c r="AD27" s="948">
        <f>AD26+AD25+AD24+AD23+AD22+AD21+AD20+AD19+AD18+AD17+AD16+AD15+AD14+AD13+AD12+AD11+AD10+AD9+AD8</f>
        <v>116614327</v>
      </c>
      <c r="AE27" s="948">
        <f t="shared" ref="AE27:AI27" si="3">AE24+AE19+AE15+AE13+AE8</f>
        <v>14923578</v>
      </c>
      <c r="AF27" s="948">
        <f t="shared" si="3"/>
        <v>0</v>
      </c>
      <c r="AG27" s="948">
        <f t="shared" si="3"/>
        <v>0</v>
      </c>
      <c r="AH27" s="948">
        <f t="shared" si="3"/>
        <v>0</v>
      </c>
      <c r="AI27" s="948">
        <f t="shared" si="3"/>
        <v>0</v>
      </c>
      <c r="AJ27" s="283"/>
      <c r="AK27" s="283"/>
      <c r="AL27" s="283"/>
      <c r="AM27" s="283"/>
      <c r="AN27" s="283"/>
      <c r="AO27" s="283"/>
      <c r="AP27" s="283"/>
      <c r="AQ27" s="283"/>
      <c r="AR27" s="278"/>
      <c r="AS27" s="278"/>
    </row>
    <row r="28" spans="1:46" s="218" customFormat="1">
      <c r="A28" s="981"/>
      <c r="B28" s="981"/>
      <c r="C28" s="981"/>
      <c r="D28" s="981"/>
      <c r="E28" s="981"/>
      <c r="F28" s="981"/>
      <c r="G28" s="981"/>
      <c r="H28" s="981"/>
      <c r="I28" s="981"/>
      <c r="J28" s="981"/>
      <c r="K28" s="981"/>
      <c r="L28" s="981"/>
      <c r="M28" s="981"/>
      <c r="N28" s="981"/>
      <c r="O28" s="278">
        <f>O12</f>
        <v>100</v>
      </c>
      <c r="P28" s="278" t="s">
        <v>18</v>
      </c>
      <c r="Q28" s="331">
        <f>Q12</f>
        <v>100</v>
      </c>
      <c r="R28" s="331">
        <v>50</v>
      </c>
      <c r="S28" s="331">
        <f t="shared" ref="S28" si="4">S12</f>
        <v>0</v>
      </c>
      <c r="T28" s="331">
        <v>50</v>
      </c>
      <c r="U28" s="278"/>
      <c r="V28" s="278"/>
      <c r="W28" s="949"/>
      <c r="X28" s="495"/>
      <c r="Y28" s="949"/>
      <c r="Z28" s="370">
        <f>Z12+AVERAGE(Z26+Z12)</f>
        <v>0</v>
      </c>
      <c r="AA28" s="370">
        <f t="shared" ref="AA28:AC28" si="5">AA12+AVERAGE(AA26+AA12)</f>
        <v>0</v>
      </c>
      <c r="AB28" s="370">
        <f t="shared" si="5"/>
        <v>0</v>
      </c>
      <c r="AC28" s="370">
        <f t="shared" si="5"/>
        <v>0</v>
      </c>
      <c r="AD28" s="949"/>
      <c r="AE28" s="949"/>
      <c r="AF28" s="949"/>
      <c r="AG28" s="949"/>
      <c r="AH28" s="949"/>
      <c r="AI28" s="949"/>
      <c r="AJ28" s="283"/>
      <c r="AK28" s="283"/>
      <c r="AL28" s="283"/>
      <c r="AM28" s="283"/>
      <c r="AN28" s="283"/>
      <c r="AO28" s="283"/>
      <c r="AP28" s="283"/>
      <c r="AQ28" s="283"/>
      <c r="AR28" s="278"/>
      <c r="AS28" s="278"/>
    </row>
    <row r="29" spans="1:46" s="218" customFormat="1">
      <c r="A29" s="3"/>
      <c r="B29" s="3"/>
      <c r="C29" s="3"/>
      <c r="D29" s="3"/>
      <c r="E29" s="3"/>
      <c r="F29" s="3"/>
      <c r="G29" s="3"/>
      <c r="H29" s="3"/>
      <c r="I29" s="3"/>
      <c r="N29" s="5"/>
      <c r="O29" s="3"/>
      <c r="P29" s="3"/>
      <c r="Q29" s="3"/>
      <c r="R29" s="3"/>
      <c r="S29" s="3"/>
      <c r="T29" s="3"/>
      <c r="U29" s="178" t="e">
        <f>#REF!-#REF!</f>
        <v>#REF!</v>
      </c>
      <c r="V29" s="3"/>
      <c r="W29" s="8"/>
      <c r="X29" s="8"/>
      <c r="Y29" s="8"/>
      <c r="Z29" s="8"/>
      <c r="AA29" s="8"/>
      <c r="AB29" s="8"/>
      <c r="AC29" s="8"/>
      <c r="AD29" s="8"/>
      <c r="AE29" s="8"/>
      <c r="AF29" s="8"/>
      <c r="AG29" s="8"/>
      <c r="AH29" s="8"/>
      <c r="AI29" s="8"/>
      <c r="AJ29" s="8"/>
      <c r="AK29" s="8"/>
      <c r="AL29" s="8"/>
      <c r="AM29" s="8"/>
      <c r="AN29" s="8"/>
      <c r="AO29" s="8"/>
      <c r="AP29" s="8"/>
      <c r="AQ29" s="8"/>
      <c r="AR29" s="3"/>
      <c r="AS29" s="3"/>
    </row>
    <row r="30" spans="1:46" s="218" customFormat="1">
      <c r="A30" s="3"/>
      <c r="B30" s="3"/>
      <c r="C30" s="3"/>
      <c r="D30" s="3"/>
      <c r="E30" s="3"/>
      <c r="F30" s="3"/>
      <c r="G30" s="3"/>
      <c r="H30" s="3"/>
      <c r="I30" s="3"/>
      <c r="N30" s="5"/>
      <c r="O30" s="3"/>
      <c r="P30" s="3"/>
      <c r="Q30" s="3"/>
      <c r="R30" s="3"/>
      <c r="S30" s="3"/>
      <c r="T30" s="3"/>
      <c r="U30" s="7"/>
      <c r="V30" s="16" t="e">
        <f>Y31-#REF!</f>
        <v>#REF!</v>
      </c>
      <c r="W30" s="8"/>
      <c r="X30" s="8"/>
      <c r="Y30" s="8"/>
      <c r="Z30" s="8"/>
      <c r="AA30" s="8"/>
      <c r="AB30" s="8"/>
      <c r="AC30" s="8"/>
      <c r="AD30" s="8"/>
      <c r="AE30" s="8"/>
      <c r="AF30" s="8"/>
      <c r="AG30" s="8"/>
      <c r="AH30" s="8"/>
      <c r="AI30" s="8"/>
      <c r="AJ30" s="8"/>
      <c r="AK30" s="8"/>
      <c r="AL30" s="8"/>
      <c r="AM30" s="8"/>
      <c r="AN30" s="8"/>
      <c r="AO30" s="8"/>
      <c r="AP30" s="8"/>
      <c r="AQ30" s="8"/>
      <c r="AR30" s="3"/>
      <c r="AS30" s="3"/>
    </row>
    <row r="31" spans="1:46" s="218" customFormat="1" ht="23.25">
      <c r="A31" s="877" t="s">
        <v>601</v>
      </c>
      <c r="B31" s="877"/>
      <c r="C31" s="877"/>
      <c r="D31" s="877"/>
      <c r="E31" s="877"/>
      <c r="F31" s="877"/>
      <c r="G31" s="877"/>
      <c r="H31" s="877"/>
      <c r="I31" s="877"/>
      <c r="J31" s="877"/>
      <c r="K31" s="877"/>
      <c r="L31" s="877"/>
      <c r="M31" s="877"/>
      <c r="N31" s="877"/>
      <c r="O31" s="877"/>
      <c r="P31" s="3"/>
      <c r="Q31" s="3"/>
      <c r="R31" s="3"/>
      <c r="S31" s="3"/>
      <c r="T31" s="3"/>
      <c r="U31" s="7"/>
      <c r="V31" s="3"/>
      <c r="W31" s="8"/>
      <c r="X31" s="8"/>
      <c r="Y31" s="14">
        <v>90692582257</v>
      </c>
      <c r="Z31" s="286"/>
      <c r="AA31" s="286"/>
      <c r="AB31" s="286"/>
      <c r="AC31" s="286"/>
      <c r="AD31" s="286"/>
      <c r="AE31" s="286"/>
      <c r="AF31" s="286"/>
      <c r="AG31" s="286"/>
      <c r="AH31" s="286"/>
      <c r="AI31" s="286"/>
      <c r="AJ31" s="286"/>
      <c r="AK31" s="286"/>
      <c r="AL31" s="286"/>
      <c r="AM31" s="286"/>
      <c r="AN31" s="286"/>
      <c r="AO31" s="286"/>
      <c r="AP31" s="286"/>
      <c r="AQ31" s="286"/>
      <c r="AR31" s="15" t="e">
        <f>Y31-#REF!</f>
        <v>#REF!</v>
      </c>
      <c r="AS31" s="3"/>
    </row>
    <row r="32" spans="1:46" s="218" customFormat="1" ht="60">
      <c r="A32" s="318" t="s">
        <v>598</v>
      </c>
      <c r="B32" s="319" t="s">
        <v>587</v>
      </c>
      <c r="C32" s="319" t="s">
        <v>588</v>
      </c>
      <c r="D32" s="319" t="s">
        <v>589</v>
      </c>
      <c r="E32" s="319" t="s">
        <v>590</v>
      </c>
      <c r="F32" s="319" t="s">
        <v>589</v>
      </c>
      <c r="G32" s="319" t="s">
        <v>591</v>
      </c>
      <c r="H32" s="319" t="s">
        <v>589</v>
      </c>
      <c r="I32" s="319"/>
      <c r="J32" s="320"/>
      <c r="K32" s="320"/>
      <c r="L32" s="320"/>
      <c r="M32" s="319" t="s">
        <v>589</v>
      </c>
      <c r="N32" s="319" t="s">
        <v>592</v>
      </c>
      <c r="O32" s="319" t="s">
        <v>589</v>
      </c>
      <c r="P32" s="3"/>
      <c r="Q32" s="3"/>
      <c r="R32" s="3"/>
      <c r="S32" s="3"/>
      <c r="T32" s="3"/>
      <c r="U32" s="7"/>
      <c r="V32" s="3"/>
      <c r="W32" s="8"/>
      <c r="X32" s="8"/>
      <c r="Y32" s="8"/>
      <c r="Z32" s="8">
        <f>Z27+Z28</f>
        <v>0</v>
      </c>
      <c r="AA32" s="8"/>
      <c r="AB32" s="8"/>
      <c r="AC32" s="8"/>
      <c r="AD32" s="8"/>
      <c r="AE32" s="8"/>
      <c r="AF32" s="8"/>
      <c r="AG32" s="8"/>
      <c r="AH32" s="8"/>
      <c r="AI32" s="8"/>
      <c r="AJ32" s="8"/>
      <c r="AK32" s="8"/>
      <c r="AL32" s="8"/>
      <c r="AM32" s="8"/>
      <c r="AN32" s="8"/>
      <c r="AO32" s="8"/>
      <c r="AP32" s="8"/>
      <c r="AQ32" s="8"/>
      <c r="AR32" s="3"/>
      <c r="AS32" s="3"/>
    </row>
    <row r="33" spans="1:45" s="218" customFormat="1">
      <c r="A33" s="303" t="s">
        <v>599</v>
      </c>
      <c r="B33" s="303">
        <f>O27</f>
        <v>23</v>
      </c>
      <c r="C33" s="311">
        <f>Z27</f>
        <v>0</v>
      </c>
      <c r="D33" s="314">
        <f>B33*C33/100</f>
        <v>0</v>
      </c>
      <c r="E33" s="303">
        <f>AA27</f>
        <v>0</v>
      </c>
      <c r="F33" s="314">
        <f>B33*E33/100</f>
        <v>0</v>
      </c>
      <c r="G33" s="303">
        <f>AB27</f>
        <v>0</v>
      </c>
      <c r="H33" s="314">
        <f>B33*G33/100</f>
        <v>0</v>
      </c>
      <c r="I33" s="304"/>
      <c r="J33" s="304"/>
      <c r="K33" s="304"/>
      <c r="L33" s="304"/>
      <c r="M33" s="305"/>
      <c r="N33" s="303">
        <f>AC27</f>
        <v>0</v>
      </c>
      <c r="O33" s="314">
        <f>B33*N33/100</f>
        <v>0</v>
      </c>
      <c r="P33" s="3"/>
      <c r="Q33" s="3"/>
      <c r="R33" s="3"/>
      <c r="S33" s="3"/>
      <c r="T33" s="3"/>
      <c r="U33" s="178" t="e">
        <f>#REF!-#REF!</f>
        <v>#REF!</v>
      </c>
      <c r="V33" s="3"/>
      <c r="W33" s="8"/>
      <c r="X33" s="8"/>
      <c r="Y33" s="8"/>
      <c r="Z33" s="8"/>
      <c r="AA33" s="8"/>
      <c r="AB33" s="8"/>
      <c r="AC33" s="8"/>
      <c r="AD33" s="8"/>
      <c r="AE33" s="8"/>
      <c r="AF33" s="8"/>
      <c r="AG33" s="8"/>
      <c r="AH33" s="8"/>
      <c r="AI33" s="8"/>
      <c r="AJ33" s="8"/>
      <c r="AK33" s="8"/>
      <c r="AL33" s="8"/>
      <c r="AM33" s="8"/>
      <c r="AN33" s="8"/>
      <c r="AO33" s="8"/>
      <c r="AP33" s="8"/>
      <c r="AQ33" s="8"/>
      <c r="AR33" s="3"/>
      <c r="AS33" s="3"/>
    </row>
    <row r="34" spans="1:45" s="218" customFormat="1">
      <c r="A34" s="303" t="s">
        <v>18</v>
      </c>
      <c r="B34" s="303">
        <f>O28</f>
        <v>100</v>
      </c>
      <c r="C34" s="314">
        <f>Z28</f>
        <v>0</v>
      </c>
      <c r="D34" s="314">
        <f>B34*C34/100</f>
        <v>0</v>
      </c>
      <c r="E34" s="314">
        <f>AA28</f>
        <v>0</v>
      </c>
      <c r="F34" s="314">
        <f>B34*E34/100</f>
        <v>0</v>
      </c>
      <c r="G34" s="314">
        <f>AB28</f>
        <v>0</v>
      </c>
      <c r="H34" s="314">
        <f>B34*G34/100</f>
        <v>0</v>
      </c>
      <c r="I34" s="304"/>
      <c r="J34" s="304"/>
      <c r="K34" s="304"/>
      <c r="L34" s="304"/>
      <c r="M34" s="305">
        <v>0</v>
      </c>
      <c r="N34" s="303">
        <f>AC28</f>
        <v>0</v>
      </c>
      <c r="O34" s="314">
        <f>B34*N34/100</f>
        <v>0</v>
      </c>
      <c r="P34" s="3"/>
      <c r="Q34" s="3"/>
      <c r="R34" s="3"/>
      <c r="S34" s="3"/>
      <c r="T34" s="3"/>
      <c r="U34" s="7"/>
      <c r="V34" s="3"/>
      <c r="W34" s="8"/>
      <c r="X34" s="8"/>
      <c r="Y34" s="8"/>
      <c r="Z34" s="8"/>
      <c r="AA34" s="8"/>
      <c r="AB34" s="8"/>
      <c r="AC34" s="8"/>
      <c r="AD34" s="8"/>
      <c r="AE34" s="8"/>
      <c r="AF34" s="8"/>
      <c r="AG34" s="8"/>
      <c r="AH34" s="8"/>
      <c r="AI34" s="8"/>
      <c r="AJ34" s="8"/>
      <c r="AK34" s="8"/>
      <c r="AL34" s="8"/>
      <c r="AM34" s="8"/>
      <c r="AN34" s="8"/>
      <c r="AO34" s="8"/>
      <c r="AP34" s="8"/>
      <c r="AQ34" s="8"/>
      <c r="AR34" s="3"/>
      <c r="AS34" s="3"/>
    </row>
    <row r="35" spans="1:45" s="218" customFormat="1">
      <c r="A35" s="7"/>
      <c r="B35" s="7"/>
      <c r="C35" s="7"/>
      <c r="D35" s="7"/>
      <c r="E35" s="7"/>
      <c r="F35" s="7"/>
      <c r="G35" s="7"/>
      <c r="H35" s="7"/>
      <c r="I35" s="306"/>
      <c r="J35" s="306"/>
      <c r="K35" s="306"/>
      <c r="L35" s="306"/>
      <c r="M35" s="307"/>
      <c r="N35" s="7"/>
      <c r="O35" s="3"/>
      <c r="P35" s="3"/>
      <c r="Q35" s="3"/>
      <c r="R35" s="3"/>
      <c r="S35" s="3"/>
      <c r="T35" s="3"/>
      <c r="U35" s="7"/>
      <c r="V35" s="3"/>
      <c r="W35" s="8"/>
      <c r="X35" s="8"/>
      <c r="Y35" s="8"/>
      <c r="Z35" s="8"/>
      <c r="AA35" s="8"/>
      <c r="AB35" s="8"/>
      <c r="AC35" s="8"/>
      <c r="AD35" s="8"/>
      <c r="AE35" s="8"/>
      <c r="AF35" s="8"/>
      <c r="AG35" s="8"/>
      <c r="AH35" s="8"/>
      <c r="AI35" s="8"/>
      <c r="AJ35" s="8"/>
      <c r="AK35" s="8"/>
      <c r="AL35" s="8"/>
      <c r="AM35" s="8"/>
      <c r="AN35" s="8"/>
      <c r="AO35" s="8"/>
      <c r="AP35" s="8"/>
      <c r="AQ35" s="8"/>
      <c r="AR35" s="3"/>
      <c r="AS35" s="3"/>
    </row>
    <row r="36" spans="1:45" s="218" customFormat="1" ht="15">
      <c r="A36" s="878" t="s">
        <v>602</v>
      </c>
      <c r="B36" s="878"/>
      <c r="C36" s="878"/>
      <c r="D36" s="878"/>
      <c r="E36" s="878"/>
      <c r="F36" s="878"/>
      <c r="G36" s="878"/>
      <c r="H36" s="878"/>
      <c r="I36" s="878"/>
      <c r="J36" s="878"/>
      <c r="K36" s="878"/>
      <c r="L36" s="878"/>
      <c r="M36" s="878"/>
      <c r="N36" s="878"/>
      <c r="O36" s="3"/>
      <c r="P36" s="3"/>
      <c r="Q36" s="3"/>
      <c r="R36" s="3"/>
      <c r="S36" s="3"/>
      <c r="T36" s="3"/>
      <c r="U36" s="7"/>
      <c r="V36" s="3"/>
      <c r="W36" s="8"/>
      <c r="X36" s="8"/>
      <c r="Y36" s="8"/>
      <c r="Z36" s="8"/>
      <c r="AA36" s="8"/>
      <c r="AB36" s="8"/>
      <c r="AC36" s="8"/>
      <c r="AD36" s="8"/>
      <c r="AE36" s="8"/>
      <c r="AF36" s="8"/>
      <c r="AG36" s="8"/>
      <c r="AH36" s="8"/>
      <c r="AI36" s="8"/>
      <c r="AJ36" s="8"/>
      <c r="AK36" s="8"/>
      <c r="AL36" s="8"/>
      <c r="AM36" s="8"/>
      <c r="AN36" s="8"/>
      <c r="AO36" s="8"/>
      <c r="AP36" s="8"/>
      <c r="AQ36" s="8"/>
      <c r="AR36" s="3"/>
      <c r="AS36" s="3"/>
    </row>
    <row r="37" spans="1:45" s="218" customFormat="1" ht="45">
      <c r="A37" s="316" t="s">
        <v>593</v>
      </c>
      <c r="B37" s="316" t="s">
        <v>594</v>
      </c>
      <c r="C37" s="316" t="s">
        <v>589</v>
      </c>
      <c r="D37" s="316" t="s">
        <v>595</v>
      </c>
      <c r="E37" s="316" t="s">
        <v>589</v>
      </c>
      <c r="F37" s="316" t="s">
        <v>596</v>
      </c>
      <c r="G37" s="316" t="s">
        <v>589</v>
      </c>
      <c r="H37" s="316" t="s">
        <v>597</v>
      </c>
      <c r="I37" s="317"/>
      <c r="J37" s="317"/>
      <c r="K37" s="317"/>
      <c r="L37" s="317"/>
      <c r="M37" s="316" t="s">
        <v>597</v>
      </c>
      <c r="N37" s="316" t="s">
        <v>589</v>
      </c>
      <c r="O37" s="3"/>
      <c r="P37" s="3"/>
      <c r="Q37" s="3"/>
      <c r="R37" s="3"/>
      <c r="S37" s="3"/>
      <c r="T37" s="3"/>
      <c r="U37" s="7"/>
      <c r="V37" s="3"/>
      <c r="W37" s="8"/>
      <c r="X37" s="8"/>
      <c r="Y37" s="8"/>
      <c r="Z37" s="8"/>
      <c r="AA37" s="8"/>
      <c r="AB37" s="8"/>
      <c r="AC37" s="8"/>
      <c r="AD37" s="8"/>
      <c r="AE37" s="8"/>
      <c r="AF37" s="8"/>
      <c r="AG37" s="8"/>
      <c r="AH37" s="8"/>
      <c r="AI37" s="8"/>
      <c r="AJ37" s="8"/>
      <c r="AK37" s="8"/>
      <c r="AL37" s="8"/>
      <c r="AM37" s="8"/>
      <c r="AN37" s="8"/>
      <c r="AO37" s="8"/>
      <c r="AP37" s="8"/>
      <c r="AQ37" s="8"/>
      <c r="AR37" s="3"/>
      <c r="AS37" s="3"/>
    </row>
    <row r="38" spans="1:45" s="218" customFormat="1">
      <c r="A38" s="309">
        <f>Y27</f>
        <v>636777246</v>
      </c>
      <c r="B38" s="309">
        <f>AD27</f>
        <v>116614327</v>
      </c>
      <c r="C38" s="315">
        <f>A38*B38/100</f>
        <v>742573499912034.38</v>
      </c>
      <c r="D38" s="309">
        <f>AE27</f>
        <v>14923578</v>
      </c>
      <c r="E38" s="314">
        <f>A38*D38/100</f>
        <v>95029948993061.875</v>
      </c>
      <c r="F38" s="309">
        <f>AF27</f>
        <v>0</v>
      </c>
      <c r="G38" s="314">
        <f>A38*F38/100</f>
        <v>0</v>
      </c>
      <c r="H38" s="309">
        <f>AG27</f>
        <v>0</v>
      </c>
      <c r="I38" s="304"/>
      <c r="J38" s="304"/>
      <c r="K38" s="304"/>
      <c r="L38" s="304"/>
      <c r="M38" s="325">
        <f>AF17</f>
        <v>0</v>
      </c>
      <c r="N38" s="314">
        <f>A38*H38/100</f>
        <v>0</v>
      </c>
      <c r="O38" s="3"/>
      <c r="P38" s="3"/>
      <c r="Q38" s="3"/>
      <c r="R38" s="3"/>
      <c r="S38" s="3"/>
      <c r="T38" s="3"/>
      <c r="U38" s="7"/>
      <c r="V38" s="3"/>
      <c r="W38" s="8"/>
      <c r="X38" s="8"/>
      <c r="Y38" s="8"/>
      <c r="Z38" s="8"/>
      <c r="AA38" s="8"/>
      <c r="AB38" s="8"/>
      <c r="AC38" s="8"/>
      <c r="AD38" s="8"/>
      <c r="AE38" s="8"/>
      <c r="AF38" s="8"/>
      <c r="AG38" s="8"/>
      <c r="AH38" s="8"/>
      <c r="AI38" s="8"/>
      <c r="AJ38" s="8"/>
      <c r="AK38" s="8"/>
      <c r="AL38" s="8"/>
      <c r="AM38" s="8"/>
      <c r="AN38" s="8"/>
      <c r="AO38" s="8"/>
      <c r="AP38" s="8"/>
      <c r="AQ38" s="8"/>
      <c r="AR38" s="3"/>
      <c r="AS38" s="3"/>
    </row>
    <row r="39" spans="1:45" s="218" customFormat="1">
      <c r="A39" s="303"/>
      <c r="B39" s="303"/>
      <c r="C39" s="303"/>
      <c r="D39" s="303"/>
      <c r="E39" s="303"/>
      <c r="F39" s="303"/>
      <c r="G39" s="303"/>
      <c r="H39" s="303"/>
      <c r="I39" s="304"/>
      <c r="J39" s="304"/>
      <c r="K39" s="304"/>
      <c r="L39" s="304"/>
      <c r="M39" s="305"/>
      <c r="N39" s="303"/>
      <c r="O39" s="3"/>
      <c r="P39" s="3"/>
      <c r="Q39" s="3"/>
      <c r="R39" s="3"/>
      <c r="S39" s="3"/>
      <c r="T39" s="3"/>
      <c r="U39" s="7"/>
      <c r="V39" s="3"/>
      <c r="W39" s="8"/>
      <c r="X39" s="8"/>
      <c r="Y39" s="8"/>
      <c r="Z39" s="8"/>
      <c r="AA39" s="8"/>
      <c r="AB39" s="8"/>
      <c r="AC39" s="8"/>
      <c r="AD39" s="8"/>
      <c r="AE39" s="8"/>
      <c r="AF39" s="8"/>
      <c r="AG39" s="8"/>
      <c r="AH39" s="8"/>
      <c r="AI39" s="8"/>
      <c r="AJ39" s="8"/>
      <c r="AK39" s="8"/>
      <c r="AL39" s="8"/>
      <c r="AM39" s="8"/>
      <c r="AN39" s="8"/>
      <c r="AO39" s="8"/>
      <c r="AP39" s="8"/>
      <c r="AQ39" s="8"/>
      <c r="AR39" s="3"/>
      <c r="AS39" s="3"/>
    </row>
    <row r="40" spans="1:45" s="218" customFormat="1">
      <c r="A40" s="3"/>
      <c r="B40" s="3"/>
      <c r="C40" s="3"/>
      <c r="D40" s="3"/>
      <c r="E40" s="3"/>
      <c r="F40" s="3"/>
      <c r="G40" s="3"/>
      <c r="H40" s="3"/>
      <c r="M40" s="5"/>
      <c r="N40" s="3"/>
      <c r="O40" s="3"/>
      <c r="P40" s="3"/>
      <c r="Q40" s="3"/>
      <c r="R40" s="3"/>
      <c r="S40" s="3"/>
      <c r="T40" s="3"/>
      <c r="U40" s="7"/>
      <c r="V40" s="3"/>
      <c r="W40" s="8"/>
      <c r="X40" s="8"/>
      <c r="Y40" s="8"/>
      <c r="Z40" s="8"/>
      <c r="AA40" s="8"/>
      <c r="AB40" s="8"/>
      <c r="AC40" s="8"/>
      <c r="AD40" s="8"/>
      <c r="AE40" s="8"/>
      <c r="AF40" s="8"/>
      <c r="AG40" s="8"/>
      <c r="AH40" s="8"/>
      <c r="AI40" s="8"/>
      <c r="AJ40" s="8"/>
      <c r="AK40" s="8"/>
      <c r="AL40" s="8"/>
      <c r="AM40" s="8"/>
      <c r="AN40" s="8"/>
      <c r="AO40" s="8"/>
      <c r="AP40" s="8"/>
      <c r="AQ40" s="8"/>
      <c r="AR40" s="3"/>
      <c r="AS40" s="3"/>
    </row>
    <row r="41" spans="1:45" s="218" customFormat="1">
      <c r="A41" s="3"/>
      <c r="B41" s="3"/>
      <c r="C41" s="3"/>
      <c r="D41" s="3"/>
      <c r="E41" s="3"/>
      <c r="F41" s="3"/>
      <c r="G41" s="3"/>
      <c r="H41" s="3"/>
      <c r="I41" s="3"/>
      <c r="N41" s="5"/>
      <c r="O41" s="3"/>
      <c r="P41" s="3"/>
      <c r="Q41" s="3"/>
      <c r="R41" s="3"/>
      <c r="S41" s="3"/>
      <c r="T41" s="3"/>
      <c r="U41" s="7"/>
      <c r="V41" s="3"/>
      <c r="W41" s="8"/>
      <c r="X41" s="8"/>
      <c r="Y41" s="8"/>
      <c r="Z41" s="8"/>
      <c r="AA41" s="8"/>
      <c r="AB41" s="8"/>
      <c r="AC41" s="8"/>
      <c r="AD41" s="8"/>
      <c r="AE41" s="8"/>
      <c r="AF41" s="8"/>
      <c r="AG41" s="8"/>
      <c r="AH41" s="8"/>
      <c r="AI41" s="8"/>
      <c r="AJ41" s="8"/>
      <c r="AK41" s="8"/>
      <c r="AL41" s="8"/>
      <c r="AM41" s="8"/>
      <c r="AN41" s="8"/>
      <c r="AO41" s="8"/>
      <c r="AP41" s="8"/>
      <c r="AQ41" s="8"/>
      <c r="AR41" s="3"/>
      <c r="AS41" s="3"/>
    </row>
    <row r="42" spans="1:45" s="218" customFormat="1">
      <c r="A42" s="3"/>
      <c r="B42" s="3"/>
      <c r="C42" s="3"/>
      <c r="D42" s="3"/>
      <c r="E42" s="3"/>
      <c r="F42" s="3"/>
      <c r="G42" s="3"/>
      <c r="H42" s="3"/>
      <c r="I42" s="3"/>
      <c r="N42" s="5"/>
      <c r="O42" s="3"/>
      <c r="P42" s="3"/>
      <c r="Q42" s="3"/>
      <c r="R42" s="3"/>
      <c r="S42" s="3"/>
      <c r="T42" s="3"/>
      <c r="U42" s="7"/>
      <c r="V42" s="3"/>
      <c r="W42" s="8"/>
      <c r="X42" s="8"/>
      <c r="Y42" s="8"/>
      <c r="Z42" s="8"/>
      <c r="AA42" s="8"/>
      <c r="AB42" s="8"/>
      <c r="AC42" s="8"/>
      <c r="AD42" s="8"/>
      <c r="AE42" s="8"/>
      <c r="AF42" s="8"/>
      <c r="AG42" s="8"/>
      <c r="AH42" s="8"/>
      <c r="AI42" s="8"/>
      <c r="AJ42" s="8"/>
      <c r="AK42" s="8"/>
      <c r="AL42" s="8"/>
      <c r="AM42" s="8"/>
      <c r="AN42" s="8"/>
      <c r="AO42" s="8"/>
      <c r="AP42" s="8"/>
      <c r="AQ42" s="8"/>
      <c r="AR42" s="3"/>
      <c r="AS42" s="3"/>
    </row>
    <row r="43" spans="1:45" s="218" customFormat="1" ht="15">
      <c r="A43" s="877" t="s">
        <v>635</v>
      </c>
      <c r="B43" s="877"/>
      <c r="C43" s="877"/>
      <c r="D43" s="877"/>
      <c r="E43" s="877"/>
      <c r="F43" s="877"/>
      <c r="G43" s="877"/>
      <c r="H43" s="877"/>
      <c r="I43" s="877"/>
      <c r="J43" s="877"/>
      <c r="K43" s="877"/>
      <c r="L43" s="877"/>
      <c r="M43" s="877"/>
      <c r="N43" s="877"/>
      <c r="O43" s="877"/>
      <c r="P43" s="3"/>
      <c r="Q43" s="3"/>
      <c r="R43" s="3"/>
      <c r="S43" s="3"/>
      <c r="T43" s="3"/>
      <c r="U43" s="7"/>
      <c r="V43" s="3"/>
      <c r="W43" s="8"/>
      <c r="X43" s="8"/>
      <c r="Y43" s="8"/>
      <c r="Z43" s="8"/>
      <c r="AA43" s="8"/>
      <c r="AB43" s="8"/>
      <c r="AC43" s="8"/>
      <c r="AD43" s="8"/>
      <c r="AE43" s="8"/>
      <c r="AF43" s="8"/>
      <c r="AG43" s="8"/>
      <c r="AH43" s="8"/>
      <c r="AI43" s="8"/>
      <c r="AJ43" s="8"/>
      <c r="AK43" s="8"/>
      <c r="AL43" s="8"/>
      <c r="AM43" s="8"/>
      <c r="AN43" s="8"/>
      <c r="AO43" s="8"/>
      <c r="AP43" s="8"/>
      <c r="AQ43" s="8"/>
      <c r="AR43" s="3"/>
      <c r="AS43" s="3"/>
    </row>
    <row r="44" spans="1:45" s="218" customFormat="1" ht="60">
      <c r="A44" s="318" t="s">
        <v>598</v>
      </c>
      <c r="B44" s="319" t="s">
        <v>587</v>
      </c>
      <c r="C44" s="319" t="s">
        <v>588</v>
      </c>
      <c r="D44" s="319" t="s">
        <v>589</v>
      </c>
      <c r="E44" s="319" t="s">
        <v>590</v>
      </c>
      <c r="F44" s="319" t="s">
        <v>589</v>
      </c>
      <c r="G44" s="319" t="s">
        <v>591</v>
      </c>
      <c r="H44" s="319" t="s">
        <v>589</v>
      </c>
      <c r="I44" s="319"/>
      <c r="J44" s="320"/>
      <c r="K44" s="320"/>
      <c r="L44" s="320"/>
      <c r="M44" s="320"/>
      <c r="N44" s="319" t="s">
        <v>592</v>
      </c>
      <c r="O44" s="319" t="s">
        <v>589</v>
      </c>
      <c r="P44" s="3"/>
      <c r="Q44" s="3"/>
      <c r="R44" s="3"/>
      <c r="S44" s="3"/>
      <c r="T44" s="3"/>
      <c r="U44" s="7"/>
      <c r="V44" s="3"/>
      <c r="W44" s="8"/>
      <c r="X44" s="8"/>
      <c r="Y44" s="8"/>
      <c r="Z44" s="8"/>
      <c r="AA44" s="8"/>
      <c r="AB44" s="8"/>
      <c r="AC44" s="8"/>
      <c r="AD44" s="8"/>
      <c r="AE44" s="8"/>
      <c r="AF44" s="8"/>
      <c r="AG44" s="8"/>
      <c r="AH44" s="8"/>
      <c r="AI44" s="8"/>
      <c r="AJ44" s="8"/>
      <c r="AK44" s="8"/>
      <c r="AL44" s="8"/>
      <c r="AM44" s="8"/>
      <c r="AN44" s="8"/>
      <c r="AO44" s="8"/>
      <c r="AP44" s="8"/>
      <c r="AQ44" s="8"/>
      <c r="AR44" s="3"/>
      <c r="AS44" s="3"/>
    </row>
    <row r="45" spans="1:45" s="218" customFormat="1">
      <c r="A45" s="303" t="s">
        <v>599</v>
      </c>
      <c r="B45" s="303">
        <f>B33</f>
        <v>23</v>
      </c>
      <c r="C45" s="311">
        <f>C33</f>
        <v>0</v>
      </c>
      <c r="D45" s="314">
        <f>B45*C45/100</f>
        <v>0</v>
      </c>
      <c r="E45" s="303">
        <f>E33</f>
        <v>0</v>
      </c>
      <c r="F45" s="314">
        <f>B45*E45/100</f>
        <v>0</v>
      </c>
      <c r="G45" s="303">
        <f>G33</f>
        <v>0</v>
      </c>
      <c r="H45" s="314">
        <f>B45*G45/100</f>
        <v>0</v>
      </c>
      <c r="I45" s="304"/>
      <c r="J45" s="304"/>
      <c r="K45" s="304"/>
      <c r="L45" s="304"/>
      <c r="M45" s="305"/>
      <c r="N45" s="303">
        <f>N33</f>
        <v>0</v>
      </c>
      <c r="O45" s="314">
        <f>B45*N45/100</f>
        <v>0</v>
      </c>
      <c r="P45" s="3"/>
      <c r="Q45" s="3"/>
      <c r="R45" s="3"/>
      <c r="S45" s="3"/>
      <c r="T45" s="3"/>
      <c r="U45" s="7"/>
      <c r="V45" s="3"/>
      <c r="W45" s="8"/>
      <c r="X45" s="8"/>
      <c r="Y45" s="8"/>
      <c r="Z45" s="8"/>
      <c r="AA45" s="8"/>
      <c r="AB45" s="8"/>
      <c r="AC45" s="8"/>
      <c r="AD45" s="8"/>
      <c r="AE45" s="8"/>
      <c r="AF45" s="8"/>
      <c r="AG45" s="8"/>
      <c r="AH45" s="8"/>
      <c r="AI45" s="8"/>
      <c r="AJ45" s="8"/>
      <c r="AK45" s="8"/>
      <c r="AL45" s="8"/>
      <c r="AM45" s="8"/>
      <c r="AN45" s="8"/>
      <c r="AO45" s="8"/>
      <c r="AP45" s="8"/>
      <c r="AQ45" s="8"/>
      <c r="AR45" s="3"/>
      <c r="AS45" s="3"/>
    </row>
    <row r="46" spans="1:45" s="218" customFormat="1">
      <c r="A46" s="303" t="s">
        <v>18</v>
      </c>
      <c r="B46" s="314">
        <v>1</v>
      </c>
      <c r="C46" s="314">
        <f>C34</f>
        <v>0</v>
      </c>
      <c r="D46" s="314">
        <f>B46*C46/100</f>
        <v>0</v>
      </c>
      <c r="E46" s="314">
        <f>AA40</f>
        <v>0</v>
      </c>
      <c r="F46" s="314">
        <f>B46*E46/100</f>
        <v>0</v>
      </c>
      <c r="G46" s="314">
        <f>AB40</f>
        <v>0</v>
      </c>
      <c r="H46" s="314">
        <f>B46*G46/100</f>
        <v>0</v>
      </c>
      <c r="I46" s="304"/>
      <c r="J46" s="304"/>
      <c r="K46" s="304"/>
      <c r="L46" s="304"/>
      <c r="M46" s="305">
        <v>0</v>
      </c>
      <c r="N46" s="314">
        <f>AC40</f>
        <v>0</v>
      </c>
      <c r="O46" s="314">
        <f>B46*N46/100</f>
        <v>0</v>
      </c>
      <c r="P46" s="3"/>
      <c r="Q46" s="3"/>
      <c r="R46" s="3"/>
      <c r="S46" s="3"/>
      <c r="T46" s="3"/>
      <c r="U46" s="7"/>
      <c r="V46" s="3"/>
      <c r="W46" s="8"/>
      <c r="X46" s="8"/>
      <c r="Y46" s="8"/>
      <c r="Z46" s="8"/>
      <c r="AA46" s="8"/>
      <c r="AB46" s="8"/>
      <c r="AC46" s="8"/>
      <c r="AD46" s="8"/>
      <c r="AE46" s="8"/>
      <c r="AF46" s="8"/>
      <c r="AG46" s="8"/>
      <c r="AH46" s="8"/>
      <c r="AI46" s="8"/>
      <c r="AJ46" s="8"/>
      <c r="AK46" s="8"/>
      <c r="AL46" s="8"/>
      <c r="AM46" s="8"/>
      <c r="AN46" s="8"/>
      <c r="AO46" s="8"/>
      <c r="AP46" s="8"/>
      <c r="AQ46" s="8"/>
      <c r="AR46" s="3"/>
      <c r="AS46" s="3"/>
    </row>
    <row r="47" spans="1:45" s="218" customFormat="1">
      <c r="A47" s="7"/>
      <c r="B47" s="7"/>
      <c r="C47" s="7"/>
      <c r="D47" s="7"/>
      <c r="E47" s="7"/>
      <c r="F47" s="7"/>
      <c r="G47" s="7"/>
      <c r="H47" s="7"/>
      <c r="I47" s="306"/>
      <c r="J47" s="306"/>
      <c r="K47" s="306"/>
      <c r="L47" s="306"/>
      <c r="M47" s="307"/>
      <c r="N47" s="7"/>
      <c r="O47" s="3"/>
      <c r="P47" s="3"/>
      <c r="Q47" s="3"/>
      <c r="R47" s="3"/>
      <c r="S47" s="3"/>
      <c r="T47" s="3"/>
      <c r="U47" s="7"/>
      <c r="V47" s="3"/>
      <c r="W47" s="8"/>
      <c r="X47" s="8"/>
      <c r="Y47" s="8"/>
      <c r="Z47" s="8"/>
      <c r="AA47" s="8"/>
      <c r="AB47" s="8"/>
      <c r="AC47" s="8"/>
      <c r="AD47" s="8"/>
      <c r="AE47" s="8"/>
      <c r="AF47" s="8"/>
      <c r="AG47" s="8"/>
      <c r="AH47" s="8"/>
      <c r="AI47" s="8"/>
      <c r="AJ47" s="8"/>
      <c r="AK47" s="8"/>
      <c r="AL47" s="8"/>
      <c r="AM47" s="8"/>
      <c r="AN47" s="8"/>
      <c r="AO47" s="8"/>
      <c r="AP47" s="8"/>
      <c r="AQ47" s="8"/>
      <c r="AR47" s="3"/>
      <c r="AS47" s="3"/>
    </row>
    <row r="48" spans="1:45" s="218" customFormat="1" ht="15">
      <c r="A48" s="878" t="s">
        <v>634</v>
      </c>
      <c r="B48" s="878"/>
      <c r="C48" s="878"/>
      <c r="D48" s="878"/>
      <c r="E48" s="878"/>
      <c r="F48" s="878"/>
      <c r="G48" s="878"/>
      <c r="H48" s="878"/>
      <c r="I48" s="878"/>
      <c r="J48" s="878"/>
      <c r="K48" s="878"/>
      <c r="L48" s="878"/>
      <c r="M48" s="878"/>
      <c r="N48" s="878"/>
      <c r="O48" s="3"/>
      <c r="P48" s="3"/>
      <c r="Q48" s="3"/>
      <c r="R48" s="3"/>
      <c r="S48" s="3"/>
      <c r="T48" s="3"/>
      <c r="U48" s="7"/>
      <c r="V48" s="3"/>
      <c r="W48" s="8"/>
      <c r="X48" s="8"/>
      <c r="Y48" s="8"/>
      <c r="Z48" s="8"/>
      <c r="AA48" s="8"/>
      <c r="AB48" s="8"/>
      <c r="AC48" s="8"/>
      <c r="AD48" s="8"/>
      <c r="AE48" s="8"/>
      <c r="AF48" s="8"/>
      <c r="AG48" s="8"/>
      <c r="AH48" s="8"/>
      <c r="AI48" s="8"/>
      <c r="AJ48" s="8"/>
      <c r="AK48" s="8"/>
      <c r="AL48" s="8"/>
      <c r="AM48" s="8"/>
      <c r="AN48" s="8"/>
      <c r="AO48" s="8"/>
      <c r="AP48" s="8"/>
      <c r="AQ48" s="8"/>
      <c r="AR48" s="3"/>
      <c r="AS48" s="3"/>
    </row>
    <row r="49" spans="1:14" ht="45">
      <c r="A49" s="316" t="s">
        <v>593</v>
      </c>
      <c r="B49" s="316" t="s">
        <v>594</v>
      </c>
      <c r="C49" s="316" t="s">
        <v>589</v>
      </c>
      <c r="D49" s="316" t="s">
        <v>595</v>
      </c>
      <c r="E49" s="316" t="s">
        <v>589</v>
      </c>
      <c r="F49" s="316" t="s">
        <v>596</v>
      </c>
      <c r="G49" s="316" t="s">
        <v>589</v>
      </c>
      <c r="H49" s="316" t="s">
        <v>597</v>
      </c>
      <c r="I49" s="317"/>
      <c r="J49" s="317"/>
      <c r="K49" s="317"/>
      <c r="L49" s="317"/>
      <c r="M49" s="316" t="s">
        <v>597</v>
      </c>
      <c r="N49" s="316" t="s">
        <v>589</v>
      </c>
    </row>
    <row r="50" spans="1:14">
      <c r="A50" s="309">
        <f>A38</f>
        <v>636777246</v>
      </c>
      <c r="B50" s="309">
        <f>B38</f>
        <v>116614327</v>
      </c>
      <c r="C50" s="315">
        <f>A50*B50/100</f>
        <v>742573499912034.38</v>
      </c>
      <c r="D50" s="309">
        <f>D38</f>
        <v>14923578</v>
      </c>
      <c r="E50" s="314">
        <f>A50*D50/100</f>
        <v>95029948993061.875</v>
      </c>
      <c r="F50" s="309">
        <f>F38</f>
        <v>0</v>
      </c>
      <c r="G50" s="314">
        <f>A50*F50/100</f>
        <v>0</v>
      </c>
      <c r="H50" s="309">
        <f>H38</f>
        <v>0</v>
      </c>
      <c r="I50" s="304"/>
      <c r="J50" s="304"/>
      <c r="K50" s="304"/>
      <c r="L50" s="304"/>
      <c r="M50" s="325">
        <f>AF29</f>
        <v>0</v>
      </c>
      <c r="N50" s="314">
        <f>A50*H50/100</f>
        <v>0</v>
      </c>
    </row>
    <row r="51" spans="1:14">
      <c r="A51" s="303"/>
      <c r="B51" s="303"/>
      <c r="C51" s="303"/>
      <c r="D51" s="303"/>
      <c r="E51" s="303"/>
      <c r="F51" s="303"/>
      <c r="G51" s="303"/>
      <c r="H51" s="303"/>
      <c r="I51" s="304"/>
      <c r="J51" s="304"/>
      <c r="K51" s="304"/>
      <c r="L51" s="304"/>
      <c r="M51" s="305"/>
      <c r="N51" s="303"/>
    </row>
  </sheetData>
  <mergeCells count="84">
    <mergeCell ref="L19:L23"/>
    <mergeCell ref="G8:G26"/>
    <mergeCell ref="H8:H14"/>
    <mergeCell ref="I8:I14"/>
    <mergeCell ref="J8:J14"/>
    <mergeCell ref="K8:K14"/>
    <mergeCell ref="H15:H18"/>
    <mergeCell ref="AT8:AT26"/>
    <mergeCell ref="M13:M14"/>
    <mergeCell ref="U13:U14"/>
    <mergeCell ref="V13:V14"/>
    <mergeCell ref="W13:W14"/>
    <mergeCell ref="Y13:Y14"/>
    <mergeCell ref="M8:M12"/>
    <mergeCell ref="Y15:Y18"/>
    <mergeCell ref="U8:U12"/>
    <mergeCell ref="V8:V12"/>
    <mergeCell ref="W8:W12"/>
    <mergeCell ref="Y8:Y12"/>
    <mergeCell ref="U19:U23"/>
    <mergeCell ref="V19:V23"/>
    <mergeCell ref="V24:V26"/>
    <mergeCell ref="M15:M18"/>
    <mergeCell ref="U15:U18"/>
    <mergeCell ref="V15:V18"/>
    <mergeCell ref="W15:W18"/>
    <mergeCell ref="A43:O43"/>
    <mergeCell ref="W27:W28"/>
    <mergeCell ref="M24:M26"/>
    <mergeCell ref="U24:U26"/>
    <mergeCell ref="W24:W26"/>
    <mergeCell ref="M19:M23"/>
    <mergeCell ref="A27:N28"/>
    <mergeCell ref="A31:O31"/>
    <mergeCell ref="A36:N36"/>
    <mergeCell ref="H19:H26"/>
    <mergeCell ref="I19:I26"/>
    <mergeCell ref="J19:J26"/>
    <mergeCell ref="K19:K26"/>
    <mergeCell ref="A48:N48"/>
    <mergeCell ref="T6:T7"/>
    <mergeCell ref="U6:Y6"/>
    <mergeCell ref="Z6:AF6"/>
    <mergeCell ref="H6:K6"/>
    <mergeCell ref="I15:I18"/>
    <mergeCell ref="J15:J18"/>
    <mergeCell ref="K15:K18"/>
    <mergeCell ref="A8:A26"/>
    <mergeCell ref="B8:B26"/>
    <mergeCell ref="C8:C26"/>
    <mergeCell ref="D8:D26"/>
    <mergeCell ref="E8:E26"/>
    <mergeCell ref="F8:F26"/>
    <mergeCell ref="L15:L18"/>
    <mergeCell ref="Y27:Y28"/>
    <mergeCell ref="A1:AS1"/>
    <mergeCell ref="AU1:AY1"/>
    <mergeCell ref="A2:AS2"/>
    <mergeCell ref="L6:L7"/>
    <mergeCell ref="M6:M7"/>
    <mergeCell ref="N6:N7"/>
    <mergeCell ref="O6:O7"/>
    <mergeCell ref="P6:P7"/>
    <mergeCell ref="Q6:Q7"/>
    <mergeCell ref="R6:R7"/>
    <mergeCell ref="S6:S7"/>
    <mergeCell ref="A5:AS5"/>
    <mergeCell ref="A6:B6"/>
    <mergeCell ref="C6:F6"/>
    <mergeCell ref="B3:AS3"/>
    <mergeCell ref="A4:AS4"/>
    <mergeCell ref="AI27:AI28"/>
    <mergeCell ref="AR6:AR7"/>
    <mergeCell ref="AS6:AS7"/>
    <mergeCell ref="W19:W23"/>
    <mergeCell ref="Y19:Y23"/>
    <mergeCell ref="AD27:AD28"/>
    <mergeCell ref="AE27:AE28"/>
    <mergeCell ref="AF27:AF28"/>
    <mergeCell ref="AG27:AG28"/>
    <mergeCell ref="AH27:AH28"/>
    <mergeCell ref="Y24:Y26"/>
    <mergeCell ref="X8:X12"/>
    <mergeCell ref="X13:X1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C6BBF-2531-449A-B83D-4ADB83F305E8}">
  <dimension ref="A1:AY69"/>
  <sheetViews>
    <sheetView topLeftCell="A29" zoomScale="60" zoomScaleNormal="60" workbookViewId="0">
      <selection activeCell="D47" sqref="D47"/>
    </sheetView>
  </sheetViews>
  <sheetFormatPr baseColWidth="10" defaultColWidth="11.42578125" defaultRowHeight="14.25"/>
  <cols>
    <col min="1" max="2" width="28.42578125" style="3" customWidth="1"/>
    <col min="3" max="3" width="24" style="3" customWidth="1"/>
    <col min="4" max="4" width="30.42578125" style="3" customWidth="1"/>
    <col min="5" max="5" width="24.42578125" style="3" customWidth="1"/>
    <col min="6" max="6" width="18.42578125" style="3" customWidth="1"/>
    <col min="7" max="7" width="20.28515625" style="3" customWidth="1"/>
    <col min="8" max="8" width="37.42578125" style="3" customWidth="1"/>
    <col min="9" max="9" width="15" style="3" hidden="1" customWidth="1"/>
    <col min="10" max="11" width="12.7109375" style="2" hidden="1" customWidth="1"/>
    <col min="12" max="12" width="38.42578125" style="2" hidden="1" customWidth="1"/>
    <col min="13" max="13" width="57.42578125" style="2" hidden="1" customWidth="1"/>
    <col min="14" max="14" width="38.140625" style="5" customWidth="1"/>
    <col min="15" max="16" width="15" style="3" customWidth="1"/>
    <col min="17" max="17" width="16.28515625" style="3" customWidth="1"/>
    <col min="18" max="18" width="16.7109375" style="3" customWidth="1"/>
    <col min="19" max="19" width="16.85546875" style="3" customWidth="1"/>
    <col min="20" max="20" width="18" style="3" customWidth="1"/>
    <col min="21" max="21" width="20.140625" style="7" customWidth="1"/>
    <col min="22" max="22" width="21.42578125" style="3" customWidth="1"/>
    <col min="23" max="23" width="27.7109375" style="8" customWidth="1"/>
    <col min="24" max="24" width="25.42578125" style="8" bestFit="1" customWidth="1"/>
    <col min="25" max="34" width="25.42578125" style="8" customWidth="1"/>
    <col min="35" max="37" width="34.28515625" style="8" customWidth="1"/>
    <col min="38" max="42" width="43.85546875" style="8" customWidth="1"/>
    <col min="43" max="43" width="20" style="3" customWidth="1"/>
    <col min="44" max="44" width="20.140625" style="3" customWidth="1"/>
    <col min="45" max="45" width="30.28515625" style="2" hidden="1" customWidth="1"/>
    <col min="46" max="47" width="17.42578125" style="2" customWidth="1"/>
    <col min="48" max="48" width="21.140625" style="2" customWidth="1"/>
    <col min="49" max="49" width="16.7109375" style="2" customWidth="1"/>
    <col min="50" max="50" width="20.140625" style="2" customWidth="1"/>
    <col min="51" max="16384" width="11.42578125" style="2"/>
  </cols>
  <sheetData>
    <row r="1" spans="1:51" s="218" customFormat="1" ht="30.75" customHeight="1" thickTop="1" thickBot="1">
      <c r="A1" s="807"/>
      <c r="B1" s="807"/>
      <c r="C1" s="807"/>
      <c r="D1" s="807"/>
      <c r="E1" s="807"/>
      <c r="F1" s="807"/>
      <c r="G1" s="807"/>
      <c r="H1" s="807"/>
      <c r="I1" s="807"/>
      <c r="J1" s="807"/>
      <c r="K1" s="807"/>
      <c r="L1" s="807"/>
      <c r="M1" s="807"/>
      <c r="N1" s="807"/>
      <c r="O1" s="807"/>
      <c r="P1" s="807"/>
      <c r="Q1" s="807"/>
      <c r="R1" s="807"/>
      <c r="S1" s="807"/>
      <c r="T1" s="807"/>
      <c r="U1" s="807"/>
      <c r="V1" s="807"/>
      <c r="W1" s="807"/>
      <c r="X1" s="807"/>
      <c r="Y1" s="807"/>
      <c r="Z1" s="807"/>
      <c r="AA1" s="807"/>
      <c r="AB1" s="807"/>
      <c r="AC1" s="807"/>
      <c r="AD1" s="807"/>
      <c r="AE1" s="807"/>
      <c r="AF1" s="807"/>
      <c r="AG1" s="807"/>
      <c r="AH1" s="807"/>
      <c r="AI1" s="807"/>
      <c r="AJ1" s="807"/>
      <c r="AK1" s="807"/>
      <c r="AL1" s="807"/>
      <c r="AM1" s="807"/>
      <c r="AN1" s="807"/>
      <c r="AO1" s="807"/>
      <c r="AP1" s="807"/>
      <c r="AQ1" s="807"/>
      <c r="AR1" s="807"/>
      <c r="AS1" s="24"/>
      <c r="AT1" s="790" t="s">
        <v>34</v>
      </c>
      <c r="AU1" s="790"/>
      <c r="AV1" s="790"/>
      <c r="AW1" s="790"/>
      <c r="AX1" s="791"/>
    </row>
    <row r="2" spans="1:51" s="218" customFormat="1" ht="27.95" customHeight="1" thickTop="1" thickBot="1">
      <c r="A2" s="774"/>
      <c r="B2" s="774"/>
      <c r="C2" s="774"/>
      <c r="D2" s="774"/>
      <c r="E2" s="774"/>
      <c r="F2" s="774"/>
      <c r="G2" s="774"/>
      <c r="H2" s="774"/>
      <c r="I2" s="774"/>
      <c r="J2" s="774"/>
      <c r="K2" s="774"/>
      <c r="L2" s="774"/>
      <c r="M2" s="774"/>
      <c r="N2" s="774"/>
      <c r="O2" s="774"/>
      <c r="P2" s="774"/>
      <c r="Q2" s="774"/>
      <c r="R2" s="774"/>
      <c r="S2" s="774"/>
      <c r="T2" s="774"/>
      <c r="U2" s="774"/>
      <c r="V2" s="774"/>
      <c r="W2" s="774"/>
      <c r="X2" s="774"/>
      <c r="Y2" s="774"/>
      <c r="Z2" s="774"/>
      <c r="AA2" s="774"/>
      <c r="AB2" s="774"/>
      <c r="AC2" s="774"/>
      <c r="AD2" s="774"/>
      <c r="AE2" s="774"/>
      <c r="AF2" s="774"/>
      <c r="AG2" s="774"/>
      <c r="AH2" s="774"/>
      <c r="AI2" s="774"/>
      <c r="AJ2" s="774"/>
      <c r="AK2" s="774"/>
      <c r="AL2" s="774"/>
      <c r="AM2" s="774"/>
      <c r="AN2" s="774"/>
      <c r="AO2" s="774"/>
      <c r="AP2" s="774"/>
      <c r="AQ2" s="774"/>
      <c r="AR2" s="774"/>
      <c r="AS2" s="24"/>
      <c r="AT2" s="294" t="s">
        <v>35</v>
      </c>
      <c r="AU2" s="22" t="s">
        <v>36</v>
      </c>
      <c r="AV2" s="18" t="s">
        <v>37</v>
      </c>
      <c r="AW2" s="18" t="s">
        <v>38</v>
      </c>
      <c r="AX2" s="18" t="s">
        <v>29</v>
      </c>
    </row>
    <row r="3" spans="1:51" s="218" customFormat="1" ht="25.5" customHeight="1" thickTop="1" thickBot="1">
      <c r="A3" s="297"/>
      <c r="B3" s="920" t="s">
        <v>620</v>
      </c>
      <c r="C3" s="921"/>
      <c r="D3" s="921"/>
      <c r="E3" s="921"/>
      <c r="F3" s="921"/>
      <c r="G3" s="921"/>
      <c r="H3" s="921"/>
      <c r="I3" s="921"/>
      <c r="J3" s="921"/>
      <c r="K3" s="921"/>
      <c r="L3" s="921"/>
      <c r="M3" s="921"/>
      <c r="N3" s="921"/>
      <c r="O3" s="921"/>
      <c r="P3" s="921"/>
      <c r="Q3" s="921"/>
      <c r="R3" s="921"/>
      <c r="S3" s="921"/>
      <c r="T3" s="921"/>
      <c r="U3" s="921"/>
      <c r="V3" s="921"/>
      <c r="W3" s="921"/>
      <c r="X3" s="921"/>
      <c r="Y3" s="921"/>
      <c r="Z3" s="921"/>
      <c r="AA3" s="921"/>
      <c r="AB3" s="921"/>
      <c r="AC3" s="921"/>
      <c r="AD3" s="921"/>
      <c r="AE3" s="921"/>
      <c r="AF3" s="921"/>
      <c r="AG3" s="921"/>
      <c r="AH3" s="921"/>
      <c r="AI3" s="921"/>
      <c r="AJ3" s="921"/>
      <c r="AK3" s="921"/>
      <c r="AL3" s="921"/>
      <c r="AM3" s="921"/>
      <c r="AN3" s="921"/>
      <c r="AO3" s="921"/>
      <c r="AP3" s="921"/>
      <c r="AQ3" s="921"/>
      <c r="AR3" s="922"/>
      <c r="AS3" s="25"/>
      <c r="AT3" s="30"/>
      <c r="AU3" s="23"/>
      <c r="AV3" s="19"/>
      <c r="AW3" s="20"/>
      <c r="AX3" s="21"/>
    </row>
    <row r="4" spans="1:51" s="218" customFormat="1" ht="27.95" customHeight="1" thickTop="1" thickBot="1">
      <c r="A4" s="923" t="s">
        <v>621</v>
      </c>
      <c r="B4" s="924"/>
      <c r="C4" s="924"/>
      <c r="D4" s="924"/>
      <c r="E4" s="924"/>
      <c r="F4" s="924"/>
      <c r="G4" s="924"/>
      <c r="H4" s="924"/>
      <c r="I4" s="924"/>
      <c r="J4" s="924"/>
      <c r="K4" s="924"/>
      <c r="L4" s="924"/>
      <c r="M4" s="924"/>
      <c r="N4" s="924"/>
      <c r="O4" s="924"/>
      <c r="P4" s="924"/>
      <c r="Q4" s="924"/>
      <c r="R4" s="924"/>
      <c r="S4" s="924"/>
      <c r="T4" s="924"/>
      <c r="U4" s="924"/>
      <c r="V4" s="924"/>
      <c r="W4" s="924"/>
      <c r="X4" s="924"/>
      <c r="Y4" s="924"/>
      <c r="Z4" s="924"/>
      <c r="AA4" s="924"/>
      <c r="AB4" s="924"/>
      <c r="AC4" s="924"/>
      <c r="AD4" s="924"/>
      <c r="AE4" s="924"/>
      <c r="AF4" s="924"/>
      <c r="AG4" s="924"/>
      <c r="AH4" s="924"/>
      <c r="AI4" s="924"/>
      <c r="AJ4" s="924"/>
      <c r="AK4" s="924"/>
      <c r="AL4" s="924"/>
      <c r="AM4" s="924"/>
      <c r="AN4" s="924"/>
      <c r="AO4" s="924"/>
      <c r="AP4" s="924"/>
      <c r="AQ4" s="924"/>
      <c r="AR4" s="925"/>
      <c r="AS4" s="25"/>
      <c r="AT4" s="30"/>
      <c r="AU4" s="23"/>
      <c r="AV4" s="19"/>
      <c r="AW4" s="20"/>
      <c r="AX4" s="21"/>
    </row>
    <row r="5" spans="1:51" s="218" customFormat="1" ht="27.95" customHeight="1" thickTop="1" thickBot="1">
      <c r="A5" s="792"/>
      <c r="B5" s="792"/>
      <c r="C5" s="792"/>
      <c r="D5" s="792"/>
      <c r="E5" s="792"/>
      <c r="F5" s="792"/>
      <c r="G5" s="792"/>
      <c r="H5" s="792"/>
      <c r="I5" s="792"/>
      <c r="J5" s="792"/>
      <c r="K5" s="792"/>
      <c r="L5" s="792"/>
      <c r="M5" s="792"/>
      <c r="N5" s="792"/>
      <c r="O5" s="792"/>
      <c r="P5" s="792"/>
      <c r="Q5" s="792"/>
      <c r="R5" s="792"/>
      <c r="S5" s="792"/>
      <c r="T5" s="792"/>
      <c r="U5" s="792"/>
      <c r="V5" s="792"/>
      <c r="W5" s="792"/>
      <c r="X5" s="792"/>
      <c r="Y5" s="792"/>
      <c r="Z5" s="792"/>
      <c r="AA5" s="792"/>
      <c r="AB5" s="792"/>
      <c r="AC5" s="792"/>
      <c r="AD5" s="792"/>
      <c r="AE5" s="792"/>
      <c r="AF5" s="792"/>
      <c r="AG5" s="792"/>
      <c r="AH5" s="792"/>
      <c r="AI5" s="792"/>
      <c r="AJ5" s="792"/>
      <c r="AK5" s="792"/>
      <c r="AL5" s="792"/>
      <c r="AM5" s="792"/>
      <c r="AN5" s="792"/>
      <c r="AO5" s="792"/>
      <c r="AP5" s="792"/>
      <c r="AQ5" s="792"/>
      <c r="AR5" s="792"/>
      <c r="AS5" s="165"/>
      <c r="AT5" s="30"/>
      <c r="AU5" s="23"/>
      <c r="AV5" s="19"/>
      <c r="AW5" s="20"/>
      <c r="AX5" s="21"/>
    </row>
    <row r="6" spans="1:51" ht="27.95" customHeight="1" thickBot="1">
      <c r="A6" s="794"/>
      <c r="B6" s="795"/>
      <c r="C6" s="796" t="s">
        <v>45</v>
      </c>
      <c r="D6" s="794"/>
      <c r="E6" s="794"/>
      <c r="F6" s="795"/>
      <c r="G6" s="31"/>
      <c r="H6" s="759" t="s">
        <v>311</v>
      </c>
      <c r="I6" s="759"/>
      <c r="J6" s="759"/>
      <c r="K6" s="759"/>
      <c r="L6" s="793" t="s">
        <v>44</v>
      </c>
      <c r="M6" s="793" t="s">
        <v>10</v>
      </c>
      <c r="N6" s="918" t="s">
        <v>1</v>
      </c>
      <c r="O6" s="763" t="s">
        <v>48</v>
      </c>
      <c r="P6" s="763" t="s">
        <v>2</v>
      </c>
      <c r="Q6" s="763" t="s">
        <v>3</v>
      </c>
      <c r="R6" s="763" t="s">
        <v>4</v>
      </c>
      <c r="S6" s="763" t="s">
        <v>5</v>
      </c>
      <c r="T6" s="763" t="s">
        <v>6</v>
      </c>
      <c r="U6" s="762" t="s">
        <v>7</v>
      </c>
      <c r="V6" s="762"/>
      <c r="W6" s="762"/>
      <c r="X6" s="762"/>
      <c r="Y6" s="804" t="s">
        <v>564</v>
      </c>
      <c r="Z6" s="805"/>
      <c r="AA6" s="805"/>
      <c r="AB6" s="805"/>
      <c r="AC6" s="805"/>
      <c r="AD6" s="805"/>
      <c r="AE6" s="806"/>
      <c r="AF6" s="289"/>
      <c r="AG6" s="289"/>
      <c r="AH6" s="289"/>
      <c r="AI6" s="289"/>
      <c r="AJ6" s="289"/>
      <c r="AK6" s="289"/>
      <c r="AL6" s="289"/>
      <c r="AM6" s="289"/>
      <c r="AN6" s="289"/>
      <c r="AO6" s="289"/>
      <c r="AP6" s="289"/>
      <c r="AQ6" s="763" t="s">
        <v>8</v>
      </c>
      <c r="AR6" s="755" t="s">
        <v>9</v>
      </c>
      <c r="AS6" s="166"/>
      <c r="AT6" s="22" t="s">
        <v>39</v>
      </c>
      <c r="AU6" s="17" t="s">
        <v>30</v>
      </c>
      <c r="AV6" s="18" t="s">
        <v>31</v>
      </c>
      <c r="AW6" s="18" t="s">
        <v>32</v>
      </c>
      <c r="AX6" s="18" t="s">
        <v>33</v>
      </c>
    </row>
    <row r="7" spans="1:51" ht="68.25" customHeight="1" thickTop="1" thickBot="1">
      <c r="A7" s="270" t="s">
        <v>42</v>
      </c>
      <c r="B7" s="270" t="s">
        <v>43</v>
      </c>
      <c r="C7" s="270" t="s">
        <v>11</v>
      </c>
      <c r="D7" s="270" t="s">
        <v>52</v>
      </c>
      <c r="E7" s="270" t="s">
        <v>12</v>
      </c>
      <c r="F7" s="270" t="s">
        <v>47</v>
      </c>
      <c r="G7" s="270" t="s">
        <v>41</v>
      </c>
      <c r="H7" s="32" t="s">
        <v>46</v>
      </c>
      <c r="I7" s="270" t="s">
        <v>52</v>
      </c>
      <c r="J7" s="270" t="s">
        <v>12</v>
      </c>
      <c r="K7" s="270" t="s">
        <v>47</v>
      </c>
      <c r="L7" s="793"/>
      <c r="M7" s="793"/>
      <c r="N7" s="919"/>
      <c r="O7" s="764"/>
      <c r="P7" s="764"/>
      <c r="Q7" s="764"/>
      <c r="R7" s="764"/>
      <c r="S7" s="764"/>
      <c r="T7" s="764"/>
      <c r="U7" s="270" t="s">
        <v>13</v>
      </c>
      <c r="V7" s="270" t="s">
        <v>14</v>
      </c>
      <c r="W7" s="4" t="s">
        <v>15</v>
      </c>
      <c r="X7" s="4" t="s">
        <v>16</v>
      </c>
      <c r="Y7" s="4" t="s">
        <v>565</v>
      </c>
      <c r="Z7" s="4" t="s">
        <v>566</v>
      </c>
      <c r="AA7" s="4" t="s">
        <v>567</v>
      </c>
      <c r="AB7" s="4" t="s">
        <v>568</v>
      </c>
      <c r="AC7" s="4" t="s">
        <v>569</v>
      </c>
      <c r="AD7" s="4" t="s">
        <v>570</v>
      </c>
      <c r="AE7" s="4" t="s">
        <v>571</v>
      </c>
      <c r="AF7" s="293" t="s">
        <v>572</v>
      </c>
      <c r="AG7" s="293" t="s">
        <v>573</v>
      </c>
      <c r="AH7" s="293" t="s">
        <v>574</v>
      </c>
      <c r="AI7" s="293" t="s">
        <v>575</v>
      </c>
      <c r="AJ7" s="293" t="s">
        <v>576</v>
      </c>
      <c r="AK7" s="293" t="s">
        <v>577</v>
      </c>
      <c r="AL7" s="293" t="s">
        <v>578</v>
      </c>
      <c r="AM7" s="293" t="s">
        <v>579</v>
      </c>
      <c r="AN7" s="293" t="s">
        <v>580</v>
      </c>
      <c r="AO7" s="293" t="s">
        <v>581</v>
      </c>
      <c r="AP7" s="293" t="s">
        <v>582</v>
      </c>
      <c r="AQ7" s="764"/>
      <c r="AR7" s="756" t="s">
        <v>9</v>
      </c>
      <c r="AS7" s="166"/>
    </row>
    <row r="8" spans="1:51" s="218" customFormat="1" ht="152.25" customHeight="1" thickBot="1">
      <c r="A8" s="739" t="s">
        <v>321</v>
      </c>
      <c r="B8" s="736" t="s">
        <v>277</v>
      </c>
      <c r="C8" s="140" t="s">
        <v>283</v>
      </c>
      <c r="D8" s="140" t="s">
        <v>18</v>
      </c>
      <c r="E8" s="140" t="s">
        <v>51</v>
      </c>
      <c r="F8" s="140">
        <v>90</v>
      </c>
      <c r="G8" s="736" t="s">
        <v>282</v>
      </c>
      <c r="H8" s="141" t="s">
        <v>285</v>
      </c>
      <c r="I8" s="141" t="s">
        <v>18</v>
      </c>
      <c r="J8" s="142">
        <v>50</v>
      </c>
      <c r="K8" s="142">
        <v>100</v>
      </c>
      <c r="L8" s="143"/>
      <c r="M8" s="142" t="s">
        <v>287</v>
      </c>
      <c r="N8" s="198" t="s">
        <v>433</v>
      </c>
      <c r="O8" s="140">
        <v>130</v>
      </c>
      <c r="P8" s="140" t="s">
        <v>17</v>
      </c>
      <c r="Q8" s="140">
        <v>20</v>
      </c>
      <c r="R8" s="140">
        <v>30</v>
      </c>
      <c r="S8" s="140">
        <v>40</v>
      </c>
      <c r="T8" s="140">
        <v>40</v>
      </c>
      <c r="U8" s="164" t="s">
        <v>382</v>
      </c>
      <c r="V8" s="144"/>
      <c r="W8" s="145">
        <v>35784633.606720001</v>
      </c>
      <c r="X8" s="145">
        <f>W8</f>
        <v>35784633.606720001</v>
      </c>
      <c r="Y8" s="159"/>
      <c r="Z8" s="159"/>
      <c r="AA8" s="159"/>
      <c r="AB8" s="159"/>
      <c r="AC8" s="159">
        <f>+(39576565+10017702+28235560+14658056+16555564+13387500+4250077)/10</f>
        <v>12668102.4</v>
      </c>
      <c r="AD8" s="159">
        <f>+(39576565+10017702+28235560+14658056+16555564+13387500+4250077)/10</f>
        <v>12668102.4</v>
      </c>
      <c r="AE8" s="159"/>
      <c r="AF8" s="152"/>
      <c r="AG8" s="152"/>
      <c r="AH8" s="152"/>
      <c r="AI8" s="152"/>
      <c r="AJ8" s="152"/>
      <c r="AK8" s="152"/>
      <c r="AL8" s="152"/>
      <c r="AM8" s="152"/>
      <c r="AN8" s="152"/>
      <c r="AO8" s="152"/>
      <c r="AP8" s="152"/>
      <c r="AQ8" s="140" t="s">
        <v>432</v>
      </c>
      <c r="AR8" s="140" t="s">
        <v>432</v>
      </c>
      <c r="AS8" s="700" t="s">
        <v>340</v>
      </c>
      <c r="AV8" s="218">
        <v>222558546.06720001</v>
      </c>
      <c r="AW8" s="218">
        <v>135287790</v>
      </c>
      <c r="AX8" s="218">
        <f>+AV8+AW8</f>
        <v>357846336.06720001</v>
      </c>
      <c r="AY8" s="218">
        <f>+AX8/10</f>
        <v>35784633.606720001</v>
      </c>
    </row>
    <row r="9" spans="1:51" s="218" customFormat="1" ht="117" customHeight="1" thickBot="1">
      <c r="A9" s="740"/>
      <c r="B9" s="742"/>
      <c r="C9" s="272" t="s">
        <v>284</v>
      </c>
      <c r="D9" s="272" t="s">
        <v>18</v>
      </c>
      <c r="E9" s="272" t="s">
        <v>51</v>
      </c>
      <c r="F9" s="272">
        <v>83</v>
      </c>
      <c r="G9" s="742"/>
      <c r="H9" s="147" t="s">
        <v>286</v>
      </c>
      <c r="I9" s="147" t="s">
        <v>18</v>
      </c>
      <c r="J9" s="273">
        <v>50</v>
      </c>
      <c r="K9" s="273">
        <v>100</v>
      </c>
      <c r="L9" s="149"/>
      <c r="M9" s="273" t="s">
        <v>288</v>
      </c>
      <c r="N9" s="150" t="s">
        <v>434</v>
      </c>
      <c r="O9" s="272">
        <v>26</v>
      </c>
      <c r="P9" s="272" t="s">
        <v>436</v>
      </c>
      <c r="Q9" s="272">
        <v>7</v>
      </c>
      <c r="R9" s="272">
        <v>6</v>
      </c>
      <c r="S9" s="272">
        <v>7</v>
      </c>
      <c r="T9" s="272">
        <v>6</v>
      </c>
      <c r="U9" s="164" t="s">
        <v>382</v>
      </c>
      <c r="V9" s="151"/>
      <c r="W9" s="152">
        <v>35784633.606720001</v>
      </c>
      <c r="X9" s="145">
        <f t="shared" ref="X9:X24" si="0">W9</f>
        <v>35784633.606720001</v>
      </c>
      <c r="Y9" s="159"/>
      <c r="Z9" s="159"/>
      <c r="AA9" s="159"/>
      <c r="AB9" s="159"/>
      <c r="AC9" s="159">
        <f>+(39576565+10017702+28235560+14658056+16555564+13387500+4250077)/10</f>
        <v>12668102.4</v>
      </c>
      <c r="AD9" s="159">
        <f>+(39576565+10017702+28235560+14658056+16555564+13387500+4250077)/10</f>
        <v>12668102.4</v>
      </c>
      <c r="AE9" s="159"/>
      <c r="AF9" s="152"/>
      <c r="AG9" s="152"/>
      <c r="AH9" s="152"/>
      <c r="AI9" s="152"/>
      <c r="AJ9" s="152"/>
      <c r="AK9" s="152"/>
      <c r="AL9" s="152"/>
      <c r="AM9" s="152"/>
      <c r="AN9" s="152"/>
      <c r="AO9" s="152"/>
      <c r="AP9" s="152"/>
      <c r="AQ9" s="140" t="s">
        <v>432</v>
      </c>
      <c r="AR9" s="140" t="s">
        <v>432</v>
      </c>
      <c r="AS9" s="701"/>
      <c r="AY9" s="218">
        <v>35784633.606720001</v>
      </c>
    </row>
    <row r="10" spans="1:51" s="218" customFormat="1" ht="82.5" customHeight="1" thickBot="1">
      <c r="A10" s="989" t="s">
        <v>607</v>
      </c>
      <c r="B10" s="990"/>
      <c r="C10" s="990"/>
      <c r="D10" s="990"/>
      <c r="E10" s="990"/>
      <c r="F10" s="990"/>
      <c r="G10" s="990"/>
      <c r="H10" s="990"/>
      <c r="I10" s="990"/>
      <c r="J10" s="990"/>
      <c r="K10" s="990"/>
      <c r="L10" s="990"/>
      <c r="M10" s="990"/>
      <c r="N10" s="991"/>
      <c r="O10" s="334">
        <f>SUM(O8:O9)</f>
        <v>156</v>
      </c>
      <c r="P10" s="334" t="s">
        <v>452</v>
      </c>
      <c r="Q10" s="361">
        <f>SUM(Q8:Q9)</f>
        <v>27</v>
      </c>
      <c r="R10" s="361">
        <f t="shared" ref="R10:T10" si="1">SUM(R8:R9)</f>
        <v>36</v>
      </c>
      <c r="S10" s="361">
        <f t="shared" si="1"/>
        <v>47</v>
      </c>
      <c r="T10" s="361">
        <f t="shared" si="1"/>
        <v>46</v>
      </c>
      <c r="U10" s="352"/>
      <c r="V10" s="280"/>
      <c r="W10" s="346">
        <f>SUM(W8:W9)</f>
        <v>71569267.213440001</v>
      </c>
      <c r="X10" s="365">
        <f>SUM(X8:X9)</f>
        <v>71569267.213440001</v>
      </c>
      <c r="Y10" s="361">
        <f>SUM(Y8:Y9)</f>
        <v>0</v>
      </c>
      <c r="Z10" s="361">
        <f t="shared" ref="Z10:AB10" si="2">SUM(Z8:Z9)</f>
        <v>0</v>
      </c>
      <c r="AA10" s="361">
        <f t="shared" si="2"/>
        <v>0</v>
      </c>
      <c r="AB10" s="361">
        <f t="shared" si="2"/>
        <v>0</v>
      </c>
      <c r="AC10" s="365">
        <f>SUM(AC8:AC9)</f>
        <v>25336204.800000001</v>
      </c>
      <c r="AD10" s="365">
        <f t="shared" ref="AD10:AH10" si="3">SUM(AD8:AD9)</f>
        <v>25336204.800000001</v>
      </c>
      <c r="AE10" s="365">
        <f t="shared" si="3"/>
        <v>0</v>
      </c>
      <c r="AF10" s="365">
        <f t="shared" si="3"/>
        <v>0</v>
      </c>
      <c r="AG10" s="365">
        <f t="shared" si="3"/>
        <v>0</v>
      </c>
      <c r="AH10" s="365">
        <f t="shared" si="3"/>
        <v>0</v>
      </c>
      <c r="AI10" s="346"/>
      <c r="AJ10" s="346"/>
      <c r="AK10" s="346"/>
      <c r="AL10" s="346"/>
      <c r="AM10" s="346"/>
      <c r="AN10" s="346"/>
      <c r="AO10" s="346"/>
      <c r="AP10" s="346"/>
      <c r="AQ10" s="336"/>
      <c r="AR10" s="336"/>
      <c r="AS10" s="701"/>
    </row>
    <row r="11" spans="1:51" s="218" customFormat="1" ht="111.75" customHeight="1" thickBot="1">
      <c r="A11" s="743" t="s">
        <v>278</v>
      </c>
      <c r="B11" s="741" t="s">
        <v>279</v>
      </c>
      <c r="C11" s="153" t="s">
        <v>322</v>
      </c>
      <c r="D11" s="272" t="s">
        <v>18</v>
      </c>
      <c r="E11" s="272" t="s">
        <v>51</v>
      </c>
      <c r="F11" s="153">
        <v>75</v>
      </c>
      <c r="G11" s="741" t="s">
        <v>290</v>
      </c>
      <c r="H11" s="147" t="s">
        <v>291</v>
      </c>
      <c r="I11" s="154" t="s">
        <v>18</v>
      </c>
      <c r="J11" s="155">
        <v>60</v>
      </c>
      <c r="K11" s="155">
        <v>80</v>
      </c>
      <c r="L11" s="156"/>
      <c r="M11" s="272" t="s">
        <v>300</v>
      </c>
      <c r="N11" s="157" t="s">
        <v>435</v>
      </c>
      <c r="O11" s="153">
        <v>85</v>
      </c>
      <c r="P11" s="153" t="s">
        <v>18</v>
      </c>
      <c r="Q11" s="153">
        <v>70</v>
      </c>
      <c r="R11" s="153" t="s">
        <v>437</v>
      </c>
      <c r="S11" s="153" t="s">
        <v>438</v>
      </c>
      <c r="T11" s="153" t="s">
        <v>439</v>
      </c>
      <c r="U11" s="164" t="s">
        <v>382</v>
      </c>
      <c r="V11" s="158"/>
      <c r="W11" s="159">
        <v>35784633.606720001</v>
      </c>
      <c r="X11" s="145">
        <f t="shared" si="0"/>
        <v>35784633.606720001</v>
      </c>
      <c r="Y11" s="371"/>
      <c r="Z11" s="371"/>
      <c r="AA11" s="371"/>
      <c r="AB11" s="371"/>
      <c r="AC11" s="159">
        <f>+(39576565+10017702+28235560+14658056+16555564+13387500+4250077)/10</f>
        <v>12668102.4</v>
      </c>
      <c r="AD11" s="159">
        <f>+(39576565+10017702+28235560+14658056+16555564+13387500+4250077)/10</f>
        <v>12668102.4</v>
      </c>
      <c r="AE11" s="159"/>
      <c r="AF11" s="152"/>
      <c r="AG11" s="152"/>
      <c r="AH11" s="152"/>
      <c r="AI11" s="152"/>
      <c r="AJ11" s="152"/>
      <c r="AK11" s="152"/>
      <c r="AL11" s="152"/>
      <c r="AM11" s="152"/>
      <c r="AN11" s="152"/>
      <c r="AO11" s="152"/>
      <c r="AP11" s="152"/>
      <c r="AQ11" s="140" t="s">
        <v>432</v>
      </c>
      <c r="AR11" s="140" t="s">
        <v>432</v>
      </c>
      <c r="AS11" s="701"/>
    </row>
    <row r="12" spans="1:51" s="218" customFormat="1" ht="93" customHeight="1" thickBot="1">
      <c r="A12" s="744"/>
      <c r="B12" s="737"/>
      <c r="C12" s="153" t="s">
        <v>289</v>
      </c>
      <c r="D12" s="272" t="s">
        <v>18</v>
      </c>
      <c r="E12" s="272">
        <v>75</v>
      </c>
      <c r="F12" s="153">
        <v>75</v>
      </c>
      <c r="G12" s="737"/>
      <c r="H12" s="154" t="s">
        <v>292</v>
      </c>
      <c r="I12" s="154" t="s">
        <v>259</v>
      </c>
      <c r="J12" s="155">
        <v>1</v>
      </c>
      <c r="K12" s="155">
        <v>1</v>
      </c>
      <c r="L12" s="156"/>
      <c r="M12" s="155" t="s">
        <v>302</v>
      </c>
      <c r="N12" s="157" t="s">
        <v>440</v>
      </c>
      <c r="O12" s="153">
        <v>1</v>
      </c>
      <c r="P12" s="153" t="s">
        <v>17</v>
      </c>
      <c r="Q12" s="153">
        <v>0</v>
      </c>
      <c r="R12" s="153">
        <v>1</v>
      </c>
      <c r="S12" s="153">
        <v>0</v>
      </c>
      <c r="T12" s="153">
        <v>0</v>
      </c>
      <c r="U12" s="164" t="s">
        <v>382</v>
      </c>
      <c r="V12" s="158"/>
      <c r="W12" s="159">
        <v>35784633.606720001</v>
      </c>
      <c r="X12" s="145">
        <f t="shared" si="0"/>
        <v>35784633.606720001</v>
      </c>
      <c r="Y12" s="371"/>
      <c r="Z12" s="371"/>
      <c r="AA12" s="371"/>
      <c r="AB12" s="371"/>
      <c r="AC12" s="159">
        <f>+(39576565+10017702+28235560+14658056+16555564+13387500+4250077)/10</f>
        <v>12668102.4</v>
      </c>
      <c r="AD12" s="159">
        <f>+(39576565+10017702+28235560+14658056+16555564+13387500+4250077)/10</f>
        <v>12668102.4</v>
      </c>
      <c r="AE12" s="159"/>
      <c r="AF12" s="152"/>
      <c r="AG12" s="152"/>
      <c r="AH12" s="152"/>
      <c r="AI12" s="152"/>
      <c r="AJ12" s="152"/>
      <c r="AK12" s="152"/>
      <c r="AL12" s="152"/>
      <c r="AM12" s="152"/>
      <c r="AN12" s="152"/>
      <c r="AO12" s="152"/>
      <c r="AP12" s="152"/>
      <c r="AQ12" s="140" t="s">
        <v>432</v>
      </c>
      <c r="AR12" s="140" t="s">
        <v>432</v>
      </c>
      <c r="AS12" s="701"/>
    </row>
    <row r="13" spans="1:51" s="218" customFormat="1" ht="120.75" customHeight="1" thickBot="1">
      <c r="A13" s="744"/>
      <c r="B13" s="737"/>
      <c r="C13" s="741" t="s">
        <v>323</v>
      </c>
      <c r="D13" s="741" t="s">
        <v>18</v>
      </c>
      <c r="E13" s="741">
        <v>75</v>
      </c>
      <c r="F13" s="741">
        <v>75</v>
      </c>
      <c r="G13" s="737"/>
      <c r="H13" s="154" t="s">
        <v>293</v>
      </c>
      <c r="I13" s="154" t="s">
        <v>18</v>
      </c>
      <c r="J13" s="155" t="s">
        <v>51</v>
      </c>
      <c r="K13" s="155">
        <v>95</v>
      </c>
      <c r="L13" s="156"/>
      <c r="M13" s="765" t="s">
        <v>301</v>
      </c>
      <c r="N13" s="157" t="s">
        <v>441</v>
      </c>
      <c r="O13" s="153">
        <v>95</v>
      </c>
      <c r="P13" s="153" t="s">
        <v>358</v>
      </c>
      <c r="Q13" s="153">
        <v>20</v>
      </c>
      <c r="R13" s="153">
        <v>25</v>
      </c>
      <c r="S13" s="153">
        <v>20</v>
      </c>
      <c r="T13" s="153">
        <v>30</v>
      </c>
      <c r="U13" s="153" t="s">
        <v>23</v>
      </c>
      <c r="V13" s="158"/>
      <c r="W13" s="159">
        <v>23200000</v>
      </c>
      <c r="X13" s="145">
        <f t="shared" si="0"/>
        <v>23200000</v>
      </c>
      <c r="Y13" s="371"/>
      <c r="Z13" s="371"/>
      <c r="AA13" s="371"/>
      <c r="AB13" s="371"/>
      <c r="AC13" s="159">
        <v>0</v>
      </c>
      <c r="AD13" s="159">
        <v>0</v>
      </c>
      <c r="AE13" s="159"/>
      <c r="AF13" s="152"/>
      <c r="AG13" s="152"/>
      <c r="AH13" s="152"/>
      <c r="AI13" s="152"/>
      <c r="AJ13" s="152"/>
      <c r="AK13" s="152"/>
      <c r="AL13" s="152"/>
      <c r="AM13" s="152"/>
      <c r="AN13" s="152"/>
      <c r="AO13" s="152"/>
      <c r="AP13" s="152"/>
      <c r="AQ13" s="140" t="s">
        <v>432</v>
      </c>
      <c r="AR13" s="140" t="s">
        <v>432</v>
      </c>
      <c r="AS13" s="701"/>
    </row>
    <row r="14" spans="1:51" s="218" customFormat="1" ht="93" customHeight="1" thickBot="1">
      <c r="A14" s="744"/>
      <c r="B14" s="737"/>
      <c r="C14" s="737"/>
      <c r="D14" s="737"/>
      <c r="E14" s="737"/>
      <c r="F14" s="737"/>
      <c r="G14" s="737"/>
      <c r="H14" s="154" t="s">
        <v>294</v>
      </c>
      <c r="I14" s="154" t="s">
        <v>18</v>
      </c>
      <c r="J14" s="155" t="s">
        <v>51</v>
      </c>
      <c r="K14" s="155">
        <v>90</v>
      </c>
      <c r="L14" s="156"/>
      <c r="M14" s="766"/>
      <c r="N14" s="157" t="s">
        <v>442</v>
      </c>
      <c r="O14" s="153">
        <v>90</v>
      </c>
      <c r="P14" s="153" t="s">
        <v>18</v>
      </c>
      <c r="Q14" s="153">
        <v>15</v>
      </c>
      <c r="R14" s="153">
        <v>23</v>
      </c>
      <c r="S14" s="153">
        <v>31</v>
      </c>
      <c r="T14" s="153">
        <v>31</v>
      </c>
      <c r="U14" s="153" t="s">
        <v>380</v>
      </c>
      <c r="V14" s="158"/>
      <c r="W14" s="159">
        <v>30000000</v>
      </c>
      <c r="X14" s="145">
        <f t="shared" si="0"/>
        <v>30000000</v>
      </c>
      <c r="Y14" s="371"/>
      <c r="Z14" s="371"/>
      <c r="AA14" s="371"/>
      <c r="AB14" s="371"/>
      <c r="AC14" s="159">
        <v>0</v>
      </c>
      <c r="AD14" s="159">
        <v>0</v>
      </c>
      <c r="AE14" s="159"/>
      <c r="AF14" s="152"/>
      <c r="AG14" s="152"/>
      <c r="AH14" s="152"/>
      <c r="AI14" s="152"/>
      <c r="AJ14" s="152"/>
      <c r="AK14" s="152"/>
      <c r="AL14" s="152"/>
      <c r="AM14" s="152"/>
      <c r="AN14" s="152"/>
      <c r="AO14" s="152"/>
      <c r="AP14" s="152"/>
      <c r="AQ14" s="140" t="s">
        <v>432</v>
      </c>
      <c r="AR14" s="140" t="s">
        <v>432</v>
      </c>
      <c r="AS14" s="701"/>
    </row>
    <row r="15" spans="1:51" s="218" customFormat="1" ht="93" customHeight="1" thickBot="1">
      <c r="A15" s="744"/>
      <c r="B15" s="737"/>
      <c r="C15" s="737"/>
      <c r="D15" s="737"/>
      <c r="E15" s="737"/>
      <c r="F15" s="737"/>
      <c r="G15" s="737"/>
      <c r="H15" s="154" t="s">
        <v>295</v>
      </c>
      <c r="I15" s="154" t="s">
        <v>18</v>
      </c>
      <c r="J15" s="155" t="s">
        <v>51</v>
      </c>
      <c r="K15" s="155">
        <v>90</v>
      </c>
      <c r="L15" s="156"/>
      <c r="M15" s="766"/>
      <c r="N15" s="157" t="s">
        <v>443</v>
      </c>
      <c r="O15" s="153">
        <v>90</v>
      </c>
      <c r="P15" s="153" t="s">
        <v>358</v>
      </c>
      <c r="Q15" s="153">
        <v>10</v>
      </c>
      <c r="R15" s="153">
        <v>20</v>
      </c>
      <c r="S15" s="153">
        <v>40</v>
      </c>
      <c r="T15" s="153">
        <v>20</v>
      </c>
      <c r="U15" s="164" t="s">
        <v>382</v>
      </c>
      <c r="V15" s="158"/>
      <c r="W15" s="159">
        <v>35784633.606720001</v>
      </c>
      <c r="X15" s="145">
        <f t="shared" si="0"/>
        <v>35784633.606720001</v>
      </c>
      <c r="Y15" s="371">
        <v>0</v>
      </c>
      <c r="Z15" s="371"/>
      <c r="AA15" s="371"/>
      <c r="AB15" s="371"/>
      <c r="AC15" s="159">
        <f t="shared" ref="AC15:AD16" si="4">+(39576565+10017702+28235560+14658056+16555564+13387500+4250077)/10</f>
        <v>12668102.4</v>
      </c>
      <c r="AD15" s="159">
        <f t="shared" si="4"/>
        <v>12668102.4</v>
      </c>
      <c r="AE15" s="159"/>
      <c r="AF15" s="152"/>
      <c r="AG15" s="152"/>
      <c r="AH15" s="152"/>
      <c r="AI15" s="152"/>
      <c r="AJ15" s="152"/>
      <c r="AK15" s="152"/>
      <c r="AL15" s="152"/>
      <c r="AM15" s="152"/>
      <c r="AN15" s="152"/>
      <c r="AO15" s="152"/>
      <c r="AP15" s="152"/>
      <c r="AQ15" s="140" t="s">
        <v>432</v>
      </c>
      <c r="AR15" s="140" t="s">
        <v>432</v>
      </c>
      <c r="AS15" s="701"/>
    </row>
    <row r="16" spans="1:51" s="218" customFormat="1" ht="93" customHeight="1" thickBot="1">
      <c r="A16" s="744"/>
      <c r="B16" s="737"/>
      <c r="C16" s="737"/>
      <c r="D16" s="737"/>
      <c r="E16" s="737"/>
      <c r="F16" s="737"/>
      <c r="G16" s="737"/>
      <c r="H16" s="154" t="s">
        <v>296</v>
      </c>
      <c r="I16" s="154" t="s">
        <v>18</v>
      </c>
      <c r="J16" s="155" t="s">
        <v>51</v>
      </c>
      <c r="K16" s="155">
        <v>90</v>
      </c>
      <c r="L16" s="156"/>
      <c r="M16" s="766"/>
      <c r="N16" s="157" t="s">
        <v>444</v>
      </c>
      <c r="O16" s="153">
        <v>90</v>
      </c>
      <c r="P16" s="153" t="s">
        <v>18</v>
      </c>
      <c r="Q16" s="153">
        <v>25</v>
      </c>
      <c r="R16" s="153">
        <v>25</v>
      </c>
      <c r="S16" s="153">
        <v>25</v>
      </c>
      <c r="T16" s="153">
        <v>20</v>
      </c>
      <c r="U16" s="164" t="s">
        <v>382</v>
      </c>
      <c r="V16" s="158"/>
      <c r="W16" s="159">
        <v>35784633.606720001</v>
      </c>
      <c r="X16" s="145">
        <f t="shared" si="0"/>
        <v>35784633.606720001</v>
      </c>
      <c r="Y16" s="371">
        <v>0</v>
      </c>
      <c r="Z16" s="371"/>
      <c r="AA16" s="371"/>
      <c r="AB16" s="371"/>
      <c r="AC16" s="159">
        <f t="shared" si="4"/>
        <v>12668102.4</v>
      </c>
      <c r="AD16" s="159">
        <f t="shared" si="4"/>
        <v>12668102.4</v>
      </c>
      <c r="AE16" s="159"/>
      <c r="AF16" s="152"/>
      <c r="AG16" s="152"/>
      <c r="AH16" s="152"/>
      <c r="AI16" s="152"/>
      <c r="AJ16" s="152"/>
      <c r="AK16" s="152"/>
      <c r="AL16" s="152"/>
      <c r="AM16" s="152"/>
      <c r="AN16" s="152"/>
      <c r="AO16" s="152"/>
      <c r="AP16" s="152"/>
      <c r="AQ16" s="140" t="s">
        <v>432</v>
      </c>
      <c r="AR16" s="140" t="s">
        <v>432</v>
      </c>
      <c r="AS16" s="701"/>
    </row>
    <row r="17" spans="1:45" s="218" customFormat="1" ht="136.5" customHeight="1" thickBot="1">
      <c r="A17" s="744"/>
      <c r="B17" s="737"/>
      <c r="C17" s="737"/>
      <c r="D17" s="737"/>
      <c r="E17" s="737"/>
      <c r="F17" s="737"/>
      <c r="G17" s="737"/>
      <c r="H17" s="154" t="s">
        <v>297</v>
      </c>
      <c r="I17" s="154" t="s">
        <v>18</v>
      </c>
      <c r="J17" s="155" t="s">
        <v>51</v>
      </c>
      <c r="K17" s="155">
        <v>90</v>
      </c>
      <c r="L17" s="156"/>
      <c r="M17" s="766"/>
      <c r="N17" s="157" t="s">
        <v>441</v>
      </c>
      <c r="O17" s="153">
        <v>95</v>
      </c>
      <c r="P17" s="153" t="s">
        <v>358</v>
      </c>
      <c r="Q17" s="153">
        <v>20</v>
      </c>
      <c r="R17" s="153">
        <v>25</v>
      </c>
      <c r="S17" s="153">
        <v>20</v>
      </c>
      <c r="T17" s="153">
        <v>30</v>
      </c>
      <c r="U17" s="153" t="s">
        <v>379</v>
      </c>
      <c r="V17" s="158"/>
      <c r="W17" s="159">
        <v>296472467</v>
      </c>
      <c r="X17" s="145">
        <f t="shared" si="0"/>
        <v>296472467</v>
      </c>
      <c r="Y17" s="371">
        <v>0</v>
      </c>
      <c r="Z17" s="371"/>
      <c r="AA17" s="371"/>
      <c r="AB17" s="371"/>
      <c r="AC17" s="159">
        <v>4823546</v>
      </c>
      <c r="AD17" s="159">
        <v>4823546</v>
      </c>
      <c r="AE17" s="159"/>
      <c r="AF17" s="152"/>
      <c r="AG17" s="152"/>
      <c r="AH17" s="152"/>
      <c r="AI17" s="152"/>
      <c r="AJ17" s="152"/>
      <c r="AK17" s="152"/>
      <c r="AL17" s="152"/>
      <c r="AM17" s="152"/>
      <c r="AN17" s="152"/>
      <c r="AO17" s="152"/>
      <c r="AP17" s="152"/>
      <c r="AQ17" s="140" t="s">
        <v>432</v>
      </c>
      <c r="AR17" s="140" t="s">
        <v>432</v>
      </c>
      <c r="AS17" s="701"/>
    </row>
    <row r="18" spans="1:45" s="218" customFormat="1" ht="123" customHeight="1" thickBot="1">
      <c r="A18" s="744"/>
      <c r="B18" s="737"/>
      <c r="C18" s="737"/>
      <c r="D18" s="737"/>
      <c r="E18" s="737"/>
      <c r="F18" s="737"/>
      <c r="G18" s="737"/>
      <c r="H18" s="154" t="s">
        <v>298</v>
      </c>
      <c r="I18" s="154" t="s">
        <v>18</v>
      </c>
      <c r="J18" s="155" t="s">
        <v>51</v>
      </c>
      <c r="K18" s="155">
        <v>90</v>
      </c>
      <c r="L18" s="156"/>
      <c r="M18" s="766"/>
      <c r="N18" s="157" t="s">
        <v>441</v>
      </c>
      <c r="O18" s="153">
        <v>95</v>
      </c>
      <c r="P18" s="153" t="s">
        <v>358</v>
      </c>
      <c r="Q18" s="153">
        <v>20</v>
      </c>
      <c r="R18" s="153">
        <v>25</v>
      </c>
      <c r="S18" s="153">
        <v>20</v>
      </c>
      <c r="T18" s="153">
        <v>30</v>
      </c>
      <c r="U18" s="164" t="s">
        <v>382</v>
      </c>
      <c r="V18" s="158"/>
      <c r="W18" s="159">
        <v>35784633.606720001</v>
      </c>
      <c r="X18" s="145">
        <f t="shared" si="0"/>
        <v>35784633.606720001</v>
      </c>
      <c r="Y18" s="371">
        <v>0</v>
      </c>
      <c r="Z18" s="371"/>
      <c r="AA18" s="371"/>
      <c r="AB18" s="371"/>
      <c r="AC18" s="159">
        <f t="shared" ref="AC18:AD19" si="5">+(39576565+10017702+28235560+14658056+16555564+13387500+4250077)/10</f>
        <v>12668102.4</v>
      </c>
      <c r="AD18" s="159">
        <f t="shared" si="5"/>
        <v>12668102.4</v>
      </c>
      <c r="AE18" s="159"/>
      <c r="AF18" s="152"/>
      <c r="AG18" s="152"/>
      <c r="AH18" s="152"/>
      <c r="AI18" s="152"/>
      <c r="AJ18" s="152"/>
      <c r="AK18" s="152"/>
      <c r="AL18" s="152"/>
      <c r="AM18" s="152"/>
      <c r="AN18" s="152"/>
      <c r="AO18" s="152"/>
      <c r="AP18" s="152"/>
      <c r="AQ18" s="140" t="s">
        <v>432</v>
      </c>
      <c r="AR18" s="140" t="s">
        <v>432</v>
      </c>
      <c r="AS18" s="701"/>
    </row>
    <row r="19" spans="1:45" s="218" customFormat="1" ht="129.75" customHeight="1" thickBot="1">
      <c r="A19" s="740"/>
      <c r="B19" s="742"/>
      <c r="C19" s="742"/>
      <c r="D19" s="742"/>
      <c r="E19" s="742"/>
      <c r="F19" s="742"/>
      <c r="G19" s="742"/>
      <c r="H19" s="154" t="s">
        <v>299</v>
      </c>
      <c r="I19" s="154" t="s">
        <v>18</v>
      </c>
      <c r="J19" s="155" t="s">
        <v>51</v>
      </c>
      <c r="K19" s="155">
        <v>90</v>
      </c>
      <c r="L19" s="156"/>
      <c r="M19" s="768"/>
      <c r="N19" s="157" t="s">
        <v>445</v>
      </c>
      <c r="O19" s="153">
        <v>100</v>
      </c>
      <c r="P19" s="153" t="s">
        <v>358</v>
      </c>
      <c r="Q19" s="153">
        <v>100</v>
      </c>
      <c r="R19" s="153">
        <v>0</v>
      </c>
      <c r="S19" s="153">
        <v>100</v>
      </c>
      <c r="T19" s="153">
        <v>0</v>
      </c>
      <c r="U19" s="164" t="s">
        <v>382</v>
      </c>
      <c r="V19" s="158"/>
      <c r="W19" s="159">
        <v>35784633.606720001</v>
      </c>
      <c r="X19" s="145">
        <f t="shared" si="0"/>
        <v>35784633.606720001</v>
      </c>
      <c r="Y19" s="371">
        <v>0</v>
      </c>
      <c r="Z19" s="371"/>
      <c r="AA19" s="371"/>
      <c r="AB19" s="371"/>
      <c r="AC19" s="159">
        <f t="shared" si="5"/>
        <v>12668102.4</v>
      </c>
      <c r="AD19" s="159">
        <f t="shared" si="5"/>
        <v>12668102.4</v>
      </c>
      <c r="AE19" s="159"/>
      <c r="AF19" s="152"/>
      <c r="AG19" s="152"/>
      <c r="AH19" s="152"/>
      <c r="AI19" s="152"/>
      <c r="AJ19" s="152"/>
      <c r="AK19" s="152"/>
      <c r="AL19" s="152"/>
      <c r="AM19" s="152"/>
      <c r="AN19" s="152"/>
      <c r="AO19" s="152"/>
      <c r="AP19" s="152"/>
      <c r="AQ19" s="140" t="s">
        <v>432</v>
      </c>
      <c r="AR19" s="140" t="s">
        <v>432</v>
      </c>
      <c r="AS19" s="701"/>
    </row>
    <row r="20" spans="1:45" s="218" customFormat="1" ht="45" customHeight="1" thickBot="1">
      <c r="A20" s="983" t="s">
        <v>607</v>
      </c>
      <c r="B20" s="984"/>
      <c r="C20" s="984"/>
      <c r="D20" s="984"/>
      <c r="E20" s="984"/>
      <c r="F20" s="984"/>
      <c r="G20" s="984"/>
      <c r="H20" s="984"/>
      <c r="I20" s="984"/>
      <c r="J20" s="984"/>
      <c r="K20" s="984"/>
      <c r="L20" s="984"/>
      <c r="M20" s="984"/>
      <c r="N20" s="985"/>
      <c r="O20" s="334">
        <f>O12</f>
        <v>1</v>
      </c>
      <c r="P20" s="334" t="s">
        <v>452</v>
      </c>
      <c r="Q20" s="361">
        <f>Q12</f>
        <v>0</v>
      </c>
      <c r="R20" s="361">
        <f t="shared" ref="R20:T20" si="6">R12</f>
        <v>1</v>
      </c>
      <c r="S20" s="361">
        <f t="shared" si="6"/>
        <v>0</v>
      </c>
      <c r="T20" s="361">
        <f t="shared" si="6"/>
        <v>0</v>
      </c>
      <c r="U20" s="352"/>
      <c r="V20" s="280"/>
      <c r="W20" s="948">
        <f>SUM(W11:W19)</f>
        <v>564380268.64031994</v>
      </c>
      <c r="X20" s="948">
        <f>SUM(X11:X19)</f>
        <v>564380268.64031994</v>
      </c>
      <c r="Y20" s="361">
        <f>Y12</f>
        <v>0</v>
      </c>
      <c r="Z20" s="361">
        <f t="shared" ref="Z20:AB20" si="7">Z12</f>
        <v>0</v>
      </c>
      <c r="AA20" s="361">
        <f t="shared" si="7"/>
        <v>0</v>
      </c>
      <c r="AB20" s="361">
        <f t="shared" si="7"/>
        <v>0</v>
      </c>
      <c r="AC20" s="948">
        <f>SUM(AC11:AC19)</f>
        <v>80832160.400000006</v>
      </c>
      <c r="AD20" s="948">
        <f t="shared" ref="AD20:AH20" si="8">SUM(AD11:AD19)</f>
        <v>80832160.400000006</v>
      </c>
      <c r="AE20" s="948">
        <f t="shared" si="8"/>
        <v>0</v>
      </c>
      <c r="AF20" s="948">
        <f t="shared" si="8"/>
        <v>0</v>
      </c>
      <c r="AG20" s="948">
        <f t="shared" si="8"/>
        <v>0</v>
      </c>
      <c r="AH20" s="948">
        <f t="shared" si="8"/>
        <v>0</v>
      </c>
      <c r="AI20" s="346"/>
      <c r="AJ20" s="346"/>
      <c r="AK20" s="346"/>
      <c r="AL20" s="346"/>
      <c r="AM20" s="346"/>
      <c r="AN20" s="346"/>
      <c r="AO20" s="346"/>
      <c r="AP20" s="346"/>
      <c r="AQ20" s="336"/>
      <c r="AR20" s="336"/>
      <c r="AS20" s="701"/>
    </row>
    <row r="21" spans="1:45" s="218" customFormat="1" ht="51.75" customHeight="1" thickBot="1">
      <c r="A21" s="986"/>
      <c r="B21" s="987"/>
      <c r="C21" s="987"/>
      <c r="D21" s="987"/>
      <c r="E21" s="987"/>
      <c r="F21" s="987"/>
      <c r="G21" s="987"/>
      <c r="H21" s="987"/>
      <c r="I21" s="987"/>
      <c r="J21" s="987"/>
      <c r="K21" s="987"/>
      <c r="L21" s="987"/>
      <c r="M21" s="987"/>
      <c r="N21" s="988"/>
      <c r="O21" s="334">
        <v>100</v>
      </c>
      <c r="P21" s="334" t="s">
        <v>18</v>
      </c>
      <c r="Q21" s="361">
        <v>100</v>
      </c>
      <c r="R21" s="361">
        <v>100</v>
      </c>
      <c r="S21" s="361">
        <v>100</v>
      </c>
      <c r="T21" s="361">
        <v>100</v>
      </c>
      <c r="U21" s="352"/>
      <c r="V21" s="280"/>
      <c r="W21" s="949"/>
      <c r="X21" s="949"/>
      <c r="Y21" s="366">
        <f>AVERAGE(Y11:Y20)</f>
        <v>0</v>
      </c>
      <c r="Z21" s="366">
        <f t="shared" ref="Z21:AB21" si="9">AVERAGE(Z11:Z20)</f>
        <v>0</v>
      </c>
      <c r="AA21" s="366">
        <f t="shared" si="9"/>
        <v>0</v>
      </c>
      <c r="AB21" s="366">
        <f t="shared" si="9"/>
        <v>0</v>
      </c>
      <c r="AC21" s="949"/>
      <c r="AD21" s="949"/>
      <c r="AE21" s="949"/>
      <c r="AF21" s="949"/>
      <c r="AG21" s="949"/>
      <c r="AH21" s="949"/>
      <c r="AI21" s="346"/>
      <c r="AJ21" s="346"/>
      <c r="AK21" s="346"/>
      <c r="AL21" s="346"/>
      <c r="AM21" s="346"/>
      <c r="AN21" s="346"/>
      <c r="AO21" s="346"/>
      <c r="AP21" s="346"/>
      <c r="AQ21" s="336"/>
      <c r="AR21" s="336"/>
      <c r="AS21" s="701"/>
    </row>
    <row r="22" spans="1:45" s="218" customFormat="1" ht="86.25" customHeight="1" thickBot="1">
      <c r="A22" s="741" t="s">
        <v>280</v>
      </c>
      <c r="B22" s="741" t="s">
        <v>281</v>
      </c>
      <c r="C22" s="153" t="s">
        <v>303</v>
      </c>
      <c r="D22" s="153" t="s">
        <v>82</v>
      </c>
      <c r="E22" s="154" t="s">
        <v>51</v>
      </c>
      <c r="F22" s="153" t="s">
        <v>329</v>
      </c>
      <c r="G22" s="741" t="s">
        <v>305</v>
      </c>
      <c r="H22" s="154" t="s">
        <v>306</v>
      </c>
      <c r="I22" s="154" t="s">
        <v>18</v>
      </c>
      <c r="J22" s="155">
        <v>80</v>
      </c>
      <c r="K22" s="155">
        <v>90</v>
      </c>
      <c r="L22" s="156"/>
      <c r="M22" s="765" t="s">
        <v>310</v>
      </c>
      <c r="N22" s="157" t="s">
        <v>446</v>
      </c>
      <c r="O22" s="153">
        <v>90</v>
      </c>
      <c r="P22" s="153" t="s">
        <v>358</v>
      </c>
      <c r="Q22" s="153">
        <v>10</v>
      </c>
      <c r="R22" s="153">
        <v>30</v>
      </c>
      <c r="S22" s="153">
        <v>30</v>
      </c>
      <c r="T22" s="153">
        <v>20</v>
      </c>
      <c r="U22" s="153">
        <v>320000</v>
      </c>
      <c r="V22" s="158"/>
      <c r="W22" s="159">
        <v>1392676803</v>
      </c>
      <c r="X22" s="145">
        <f t="shared" si="0"/>
        <v>1392676803</v>
      </c>
      <c r="Y22" s="371"/>
      <c r="Z22" s="371"/>
      <c r="AA22" s="371"/>
      <c r="AB22" s="371"/>
      <c r="AC22" s="159">
        <v>273696858</v>
      </c>
      <c r="AD22" s="371">
        <v>615950501</v>
      </c>
      <c r="AE22" s="159"/>
      <c r="AF22" s="152"/>
      <c r="AG22" s="152"/>
      <c r="AH22" s="152"/>
      <c r="AI22" s="152"/>
      <c r="AJ22" s="152"/>
      <c r="AK22" s="152"/>
      <c r="AL22" s="152"/>
      <c r="AM22" s="152"/>
      <c r="AN22" s="152"/>
      <c r="AO22" s="152"/>
      <c r="AP22" s="152"/>
      <c r="AQ22" s="140" t="s">
        <v>432</v>
      </c>
      <c r="AR22" s="140" t="s">
        <v>432</v>
      </c>
      <c r="AS22" s="701"/>
    </row>
    <row r="23" spans="1:45" s="218" customFormat="1" ht="69.75" customHeight="1" thickBot="1">
      <c r="A23" s="737"/>
      <c r="B23" s="737"/>
      <c r="C23" s="741" t="s">
        <v>304</v>
      </c>
      <c r="D23" s="741" t="s">
        <v>18</v>
      </c>
      <c r="E23" s="741" t="s">
        <v>51</v>
      </c>
      <c r="F23" s="741">
        <v>90</v>
      </c>
      <c r="G23" s="737"/>
      <c r="H23" s="154" t="s">
        <v>307</v>
      </c>
      <c r="I23" s="154" t="s">
        <v>18</v>
      </c>
      <c r="J23" s="155">
        <v>25</v>
      </c>
      <c r="K23" s="155">
        <v>15</v>
      </c>
      <c r="L23" s="156"/>
      <c r="M23" s="766"/>
      <c r="N23" s="157" t="s">
        <v>447</v>
      </c>
      <c r="O23" s="153">
        <v>80</v>
      </c>
      <c r="P23" s="153" t="s">
        <v>358</v>
      </c>
      <c r="Q23" s="153">
        <v>25</v>
      </c>
      <c r="R23" s="153">
        <v>22</v>
      </c>
      <c r="S23" s="153">
        <v>17</v>
      </c>
      <c r="T23" s="153">
        <v>16</v>
      </c>
      <c r="U23" s="164" t="s">
        <v>382</v>
      </c>
      <c r="V23" s="158"/>
      <c r="W23" s="159">
        <v>35784633.606720001</v>
      </c>
      <c r="X23" s="145">
        <f t="shared" si="0"/>
        <v>35784633.606720001</v>
      </c>
      <c r="Y23" s="371"/>
      <c r="Z23" s="371">
        <v>0</v>
      </c>
      <c r="AA23" s="371"/>
      <c r="AB23" s="371"/>
      <c r="AC23" s="159">
        <f t="shared" ref="AC23:AD24" si="10">+(39576565+10017702+28235560+14658056+16555564+13387500+4250077)/10</f>
        <v>12668102.4</v>
      </c>
      <c r="AD23" s="159">
        <f t="shared" si="10"/>
        <v>12668102.4</v>
      </c>
      <c r="AE23" s="159"/>
      <c r="AF23" s="152"/>
      <c r="AG23" s="152"/>
      <c r="AH23" s="152"/>
      <c r="AI23" s="152"/>
      <c r="AJ23" s="152"/>
      <c r="AK23" s="152"/>
      <c r="AL23" s="152"/>
      <c r="AM23" s="152"/>
      <c r="AN23" s="152"/>
      <c r="AO23" s="152"/>
      <c r="AP23" s="152"/>
      <c r="AQ23" s="140" t="s">
        <v>432</v>
      </c>
      <c r="AR23" s="140" t="s">
        <v>432</v>
      </c>
      <c r="AS23" s="701"/>
    </row>
    <row r="24" spans="1:45" s="218" customFormat="1" ht="51.75" customHeight="1" thickBot="1">
      <c r="A24" s="738"/>
      <c r="B24" s="738"/>
      <c r="C24" s="738"/>
      <c r="D24" s="738"/>
      <c r="E24" s="738"/>
      <c r="F24" s="738"/>
      <c r="G24" s="738"/>
      <c r="H24" s="160" t="s">
        <v>308</v>
      </c>
      <c r="I24" s="160" t="s">
        <v>17</v>
      </c>
      <c r="J24" s="161" t="s">
        <v>51</v>
      </c>
      <c r="K24" s="161">
        <v>1</v>
      </c>
      <c r="L24" s="162"/>
      <c r="M24" s="767"/>
      <c r="N24" s="163" t="s">
        <v>448</v>
      </c>
      <c r="O24" s="274">
        <v>1</v>
      </c>
      <c r="P24" s="274" t="s">
        <v>449</v>
      </c>
      <c r="Q24" s="274">
        <v>0</v>
      </c>
      <c r="R24" s="274">
        <v>1</v>
      </c>
      <c r="S24" s="274">
        <v>0</v>
      </c>
      <c r="T24" s="274">
        <v>0</v>
      </c>
      <c r="U24" s="353" t="s">
        <v>382</v>
      </c>
      <c r="V24" s="355"/>
      <c r="W24" s="356">
        <v>35784633.606720001</v>
      </c>
      <c r="X24" s="357">
        <f t="shared" si="0"/>
        <v>35784633.606720001</v>
      </c>
      <c r="Y24" s="372"/>
      <c r="Z24" s="372">
        <v>0</v>
      </c>
      <c r="AA24" s="372"/>
      <c r="AB24" s="372"/>
      <c r="AC24" s="159">
        <f t="shared" si="10"/>
        <v>12668102.4</v>
      </c>
      <c r="AD24" s="159">
        <f t="shared" si="10"/>
        <v>12668102.4</v>
      </c>
      <c r="AE24" s="356"/>
      <c r="AF24" s="358"/>
      <c r="AG24" s="358"/>
      <c r="AH24" s="358"/>
      <c r="AI24" s="358"/>
      <c r="AJ24" s="358"/>
      <c r="AK24" s="358"/>
      <c r="AL24" s="358"/>
      <c r="AM24" s="358"/>
      <c r="AN24" s="358"/>
      <c r="AO24" s="358"/>
      <c r="AP24" s="358"/>
      <c r="AQ24" s="271" t="s">
        <v>432</v>
      </c>
      <c r="AR24" s="271" t="s">
        <v>432</v>
      </c>
      <c r="AS24" s="702"/>
    </row>
    <row r="25" spans="1:45" s="12" customFormat="1" ht="42" customHeight="1">
      <c r="A25" s="992" t="s">
        <v>607</v>
      </c>
      <c r="B25" s="992"/>
      <c r="C25" s="992"/>
      <c r="D25" s="992"/>
      <c r="E25" s="992"/>
      <c r="F25" s="992"/>
      <c r="G25" s="992"/>
      <c r="H25" s="992"/>
      <c r="I25" s="992"/>
      <c r="J25" s="992"/>
      <c r="K25" s="992"/>
      <c r="L25" s="992"/>
      <c r="M25" s="992"/>
      <c r="N25" s="992"/>
      <c r="O25" s="278">
        <f>O24</f>
        <v>1</v>
      </c>
      <c r="P25" s="278" t="s">
        <v>452</v>
      </c>
      <c r="Q25" s="331">
        <f>Q24</f>
        <v>0</v>
      </c>
      <c r="R25" s="331">
        <f t="shared" ref="R25:T25" si="11">R24</f>
        <v>1</v>
      </c>
      <c r="S25" s="331">
        <f t="shared" si="11"/>
        <v>0</v>
      </c>
      <c r="T25" s="331">
        <f t="shared" si="11"/>
        <v>0</v>
      </c>
      <c r="U25" s="281"/>
      <c r="V25" s="282"/>
      <c r="W25" s="948">
        <f>SUM(W22:W24)</f>
        <v>1464246070.2134399</v>
      </c>
      <c r="X25" s="948">
        <f>SUM(X22:X24)</f>
        <v>1464246070.2134399</v>
      </c>
      <c r="Y25" s="331">
        <f>Y24</f>
        <v>0</v>
      </c>
      <c r="Z25" s="331">
        <f t="shared" ref="Z25:AB25" si="12">Z24</f>
        <v>0</v>
      </c>
      <c r="AA25" s="331">
        <f t="shared" si="12"/>
        <v>0</v>
      </c>
      <c r="AB25" s="331">
        <f t="shared" si="12"/>
        <v>0</v>
      </c>
      <c r="AC25" s="948">
        <f>SUM(AC22:AC24)</f>
        <v>299033062.79999995</v>
      </c>
      <c r="AD25" s="948">
        <f t="shared" ref="AD25:AH25" si="13">SUM(AD22:AD24)</f>
        <v>641286705.79999995</v>
      </c>
      <c r="AE25" s="948">
        <f t="shared" si="13"/>
        <v>0</v>
      </c>
      <c r="AF25" s="948">
        <f t="shared" si="13"/>
        <v>0</v>
      </c>
      <c r="AG25" s="948">
        <f t="shared" si="13"/>
        <v>0</v>
      </c>
      <c r="AH25" s="948">
        <f t="shared" si="13"/>
        <v>0</v>
      </c>
      <c r="AI25" s="283"/>
      <c r="AJ25" s="283"/>
      <c r="AK25" s="283"/>
      <c r="AL25" s="283"/>
      <c r="AM25" s="283"/>
      <c r="AN25" s="283"/>
      <c r="AO25" s="283"/>
      <c r="AP25" s="283"/>
      <c r="AQ25" s="278"/>
      <c r="AR25" s="278"/>
      <c r="AS25" s="168"/>
    </row>
    <row r="26" spans="1:45" s="12" customFormat="1" ht="42" customHeight="1">
      <c r="A26" s="993"/>
      <c r="B26" s="993"/>
      <c r="C26" s="993"/>
      <c r="D26" s="993"/>
      <c r="E26" s="993"/>
      <c r="F26" s="993"/>
      <c r="G26" s="993"/>
      <c r="H26" s="993"/>
      <c r="I26" s="993"/>
      <c r="J26" s="993"/>
      <c r="K26" s="993"/>
      <c r="L26" s="993"/>
      <c r="M26" s="993"/>
      <c r="N26" s="993"/>
      <c r="O26" s="278">
        <v>100</v>
      </c>
      <c r="P26" s="278" t="s">
        <v>18</v>
      </c>
      <c r="Q26" s="331">
        <f>Q22+Q23</f>
        <v>35</v>
      </c>
      <c r="R26" s="331">
        <f>R22+R23</f>
        <v>52</v>
      </c>
      <c r="S26" s="331">
        <f>S22+S23</f>
        <v>47</v>
      </c>
      <c r="T26" s="331">
        <f>T22+T23</f>
        <v>36</v>
      </c>
      <c r="U26" s="281"/>
      <c r="V26" s="282"/>
      <c r="W26" s="949"/>
      <c r="X26" s="949"/>
      <c r="Y26" s="366">
        <f>AVERAGE(Y23+Y22)</f>
        <v>0</v>
      </c>
      <c r="Z26" s="366">
        <f t="shared" ref="Z26:AB26" si="14">AVERAGE(Z23+Z22)</f>
        <v>0</v>
      </c>
      <c r="AA26" s="366">
        <f t="shared" si="14"/>
        <v>0</v>
      </c>
      <c r="AB26" s="366">
        <f t="shared" si="14"/>
        <v>0</v>
      </c>
      <c r="AC26" s="949"/>
      <c r="AD26" s="949"/>
      <c r="AE26" s="949"/>
      <c r="AF26" s="949"/>
      <c r="AG26" s="949"/>
      <c r="AH26" s="949"/>
      <c r="AI26" s="283"/>
      <c r="AJ26" s="283"/>
      <c r="AK26" s="283"/>
      <c r="AL26" s="283"/>
      <c r="AM26" s="283"/>
      <c r="AN26" s="283"/>
      <c r="AO26" s="283"/>
      <c r="AP26" s="283"/>
      <c r="AQ26" s="278"/>
      <c r="AR26" s="278"/>
      <c r="AS26" s="354"/>
    </row>
    <row r="27" spans="1:45" s="218" customFormat="1">
      <c r="A27" s="3"/>
      <c r="B27" s="3"/>
      <c r="C27" s="3"/>
      <c r="D27" s="3"/>
      <c r="E27" s="3"/>
      <c r="F27" s="3"/>
      <c r="G27" s="3"/>
      <c r="H27" s="3"/>
      <c r="I27" s="3"/>
      <c r="N27" s="5"/>
      <c r="O27" s="3"/>
      <c r="P27" s="3"/>
      <c r="Q27" s="3"/>
      <c r="R27" s="3"/>
      <c r="S27" s="3"/>
      <c r="T27" s="3"/>
      <c r="U27" s="7"/>
      <c r="V27" s="3"/>
      <c r="W27" s="8"/>
      <c r="X27" s="9"/>
      <c r="Y27" s="9"/>
      <c r="Z27" s="9"/>
      <c r="AA27" s="9"/>
      <c r="AB27" s="9"/>
      <c r="AC27" s="9"/>
      <c r="AD27" s="9"/>
      <c r="AE27" s="9"/>
      <c r="AF27" s="9"/>
      <c r="AG27" s="9"/>
      <c r="AH27" s="9"/>
      <c r="AI27" s="9"/>
      <c r="AJ27" s="9"/>
      <c r="AK27" s="9"/>
      <c r="AL27" s="9"/>
      <c r="AM27" s="9"/>
      <c r="AN27" s="9"/>
      <c r="AO27" s="9"/>
      <c r="AP27" s="9"/>
      <c r="AQ27" s="3"/>
      <c r="AR27" s="3"/>
    </row>
    <row r="28" spans="1:45" s="218" customFormat="1">
      <c r="A28" s="3"/>
      <c r="B28" s="3"/>
      <c r="C28" s="3"/>
      <c r="D28" s="3"/>
      <c r="E28" s="3"/>
      <c r="F28" s="3"/>
      <c r="G28" s="3"/>
      <c r="H28" s="3"/>
      <c r="I28" s="3"/>
      <c r="N28" s="5"/>
      <c r="O28" s="3"/>
      <c r="P28" s="3"/>
      <c r="Q28" s="3"/>
      <c r="R28" s="3"/>
      <c r="S28" s="3"/>
      <c r="T28" s="3"/>
      <c r="U28" s="7">
        <v>90692582256</v>
      </c>
      <c r="V28" s="3"/>
      <c r="W28" s="8"/>
      <c r="X28" s="9"/>
      <c r="Y28" s="9"/>
      <c r="Z28" s="9"/>
      <c r="AA28" s="9"/>
      <c r="AB28" s="9"/>
      <c r="AC28" s="9"/>
      <c r="AD28" s="9"/>
      <c r="AE28" s="9"/>
      <c r="AF28" s="9"/>
      <c r="AG28" s="9"/>
      <c r="AH28" s="9"/>
      <c r="AI28" s="9"/>
      <c r="AJ28" s="9"/>
      <c r="AK28" s="9"/>
      <c r="AL28" s="9"/>
      <c r="AM28" s="9"/>
      <c r="AN28" s="9"/>
      <c r="AO28" s="9"/>
      <c r="AP28" s="9"/>
      <c r="AQ28" s="3"/>
      <c r="AR28" s="3"/>
    </row>
    <row r="29" spans="1:45" s="218" customFormat="1">
      <c r="A29" s="3"/>
      <c r="B29" s="3"/>
      <c r="C29" s="3"/>
      <c r="D29" s="3"/>
      <c r="E29" s="3"/>
      <c r="F29" s="3"/>
      <c r="G29" s="3"/>
      <c r="H29" s="3"/>
      <c r="M29" s="5"/>
      <c r="N29" s="3"/>
      <c r="O29" s="3"/>
      <c r="P29" s="3"/>
      <c r="Q29" s="3"/>
      <c r="R29" s="3"/>
      <c r="S29" s="3"/>
      <c r="T29" s="3"/>
      <c r="U29" s="7">
        <v>59707696938</v>
      </c>
      <c r="V29" s="3"/>
      <c r="W29" s="8"/>
      <c r="X29" s="13">
        <f>W25-X25</f>
        <v>0</v>
      </c>
      <c r="Y29" s="13"/>
      <c r="Z29" s="13"/>
      <c r="AA29" s="13"/>
      <c r="AB29" s="13"/>
      <c r="AC29" s="13"/>
      <c r="AD29" s="13"/>
      <c r="AE29" s="13"/>
      <c r="AF29" s="13"/>
      <c r="AG29" s="13"/>
      <c r="AH29" s="13"/>
      <c r="AI29" s="13"/>
      <c r="AJ29" s="13"/>
      <c r="AK29" s="13"/>
      <c r="AL29" s="13"/>
      <c r="AM29" s="13"/>
      <c r="AN29" s="13"/>
      <c r="AO29" s="13"/>
      <c r="AP29" s="13"/>
      <c r="AQ29" s="3"/>
      <c r="AR29" s="3"/>
    </row>
    <row r="30" spans="1:45" s="218" customFormat="1" ht="15">
      <c r="A30" s="877" t="s">
        <v>601</v>
      </c>
      <c r="B30" s="877"/>
      <c r="C30" s="877"/>
      <c r="D30" s="877"/>
      <c r="E30" s="877"/>
      <c r="F30" s="877"/>
      <c r="G30" s="877"/>
      <c r="H30" s="877"/>
      <c r="I30" s="877"/>
      <c r="J30" s="877"/>
      <c r="K30" s="877"/>
      <c r="L30" s="877"/>
      <c r="M30" s="877"/>
      <c r="N30" s="877"/>
      <c r="O30" s="877"/>
      <c r="P30" s="3"/>
      <c r="Q30" s="3"/>
      <c r="R30" s="3"/>
      <c r="S30" s="3"/>
      <c r="T30" s="3"/>
      <c r="U30" s="7">
        <f>+U28-U29</f>
        <v>30984885318</v>
      </c>
      <c r="V30" s="3"/>
      <c r="W30" s="8"/>
      <c r="X30" s="8"/>
      <c r="Y30" s="8"/>
      <c r="Z30" s="8"/>
      <c r="AA30" s="8"/>
      <c r="AB30" s="8"/>
      <c r="AC30" s="8"/>
      <c r="AD30" s="8"/>
      <c r="AE30" s="8"/>
      <c r="AF30" s="8"/>
      <c r="AG30" s="8"/>
      <c r="AH30" s="8"/>
      <c r="AI30" s="8"/>
      <c r="AJ30" s="8"/>
      <c r="AK30" s="8"/>
      <c r="AL30" s="8"/>
      <c r="AM30" s="8"/>
      <c r="AN30" s="8"/>
      <c r="AO30" s="8"/>
      <c r="AP30" s="8"/>
      <c r="AQ30" s="3"/>
      <c r="AR30" s="3"/>
    </row>
    <row r="31" spans="1:45" s="218" customFormat="1" ht="60">
      <c r="A31" s="318" t="s">
        <v>598</v>
      </c>
      <c r="B31" s="319" t="s">
        <v>587</v>
      </c>
      <c r="C31" s="319" t="s">
        <v>588</v>
      </c>
      <c r="D31" s="319" t="s">
        <v>589</v>
      </c>
      <c r="E31" s="319" t="s">
        <v>590</v>
      </c>
      <c r="F31" s="319" t="s">
        <v>589</v>
      </c>
      <c r="G31" s="319" t="s">
        <v>591</v>
      </c>
      <c r="H31" s="319" t="s">
        <v>589</v>
      </c>
      <c r="I31" s="319"/>
      <c r="J31" s="320"/>
      <c r="K31" s="320"/>
      <c r="L31" s="320"/>
      <c r="M31" s="319" t="s">
        <v>589</v>
      </c>
      <c r="N31" s="319" t="s">
        <v>592</v>
      </c>
      <c r="O31" s="319" t="s">
        <v>589</v>
      </c>
      <c r="P31" s="3"/>
      <c r="Q31" s="3"/>
      <c r="R31" s="3"/>
      <c r="S31" s="3"/>
      <c r="T31" s="3"/>
      <c r="U31" s="7"/>
      <c r="V31" s="3"/>
      <c r="W31" s="8"/>
      <c r="X31" s="8"/>
      <c r="Y31" s="8"/>
      <c r="Z31" s="8"/>
      <c r="AA31" s="8"/>
      <c r="AB31" s="8"/>
      <c r="AC31" s="8"/>
      <c r="AD31" s="8"/>
      <c r="AE31" s="8"/>
      <c r="AF31" s="8"/>
      <c r="AG31" s="8"/>
      <c r="AH31" s="8"/>
      <c r="AI31" s="8"/>
      <c r="AJ31" s="8"/>
      <c r="AK31" s="8"/>
      <c r="AL31" s="8"/>
      <c r="AM31" s="8"/>
      <c r="AN31" s="8"/>
      <c r="AO31" s="8"/>
      <c r="AP31" s="8"/>
      <c r="AQ31" s="3"/>
      <c r="AR31" s="3"/>
    </row>
    <row r="32" spans="1:45" s="218" customFormat="1">
      <c r="A32" s="303" t="s">
        <v>599</v>
      </c>
      <c r="B32" s="303">
        <f>O10</f>
        <v>156</v>
      </c>
      <c r="C32" s="311">
        <f>Y10</f>
        <v>0</v>
      </c>
      <c r="D32" s="314">
        <f>B32*C32/100</f>
        <v>0</v>
      </c>
      <c r="E32" s="311">
        <f>Z10</f>
        <v>0</v>
      </c>
      <c r="F32" s="314">
        <f>B32*E32/100</f>
        <v>0</v>
      </c>
      <c r="G32" s="311">
        <f>AA10</f>
        <v>0</v>
      </c>
      <c r="H32" s="314">
        <f>B32*G32/100</f>
        <v>0</v>
      </c>
      <c r="I32" s="304"/>
      <c r="J32" s="304"/>
      <c r="K32" s="304"/>
      <c r="L32" s="304"/>
      <c r="M32" s="305"/>
      <c r="N32" s="311">
        <f>AB10</f>
        <v>0</v>
      </c>
      <c r="O32" s="314">
        <f>B32*N32/100</f>
        <v>0</v>
      </c>
      <c r="P32" s="3"/>
      <c r="Q32" s="3"/>
      <c r="R32" s="3"/>
      <c r="S32" s="3"/>
      <c r="T32" s="3"/>
      <c r="U32" s="7"/>
      <c r="V32" s="3"/>
      <c r="W32" s="8"/>
      <c r="X32" s="8">
        <f>W25-X34</f>
        <v>-89228336186.78656</v>
      </c>
      <c r="Y32" s="8"/>
      <c r="Z32" s="8"/>
      <c r="AA32" s="8"/>
      <c r="AB32" s="8"/>
      <c r="AC32" s="8"/>
      <c r="AD32" s="8"/>
      <c r="AE32" s="8"/>
      <c r="AF32" s="8"/>
      <c r="AG32" s="8"/>
      <c r="AH32" s="8"/>
      <c r="AI32" s="8"/>
      <c r="AJ32" s="8"/>
      <c r="AK32" s="8"/>
      <c r="AL32" s="8"/>
      <c r="AM32" s="8"/>
      <c r="AN32" s="8"/>
      <c r="AO32" s="8"/>
      <c r="AP32" s="8"/>
      <c r="AQ32" s="3"/>
      <c r="AR32" s="3"/>
    </row>
    <row r="33" spans="1:44" s="218" customFormat="1">
      <c r="A33" s="7"/>
      <c r="B33" s="7"/>
      <c r="C33" s="7"/>
      <c r="D33" s="7"/>
      <c r="E33" s="7"/>
      <c r="F33" s="7"/>
      <c r="G33" s="7"/>
      <c r="H33" s="7"/>
      <c r="I33" s="306"/>
      <c r="J33" s="306"/>
      <c r="K33" s="306"/>
      <c r="L33" s="306"/>
      <c r="M33" s="307"/>
      <c r="N33" s="7"/>
      <c r="O33" s="3"/>
      <c r="P33" s="3"/>
      <c r="Q33" s="3"/>
      <c r="R33" s="3"/>
      <c r="S33" s="3"/>
      <c r="T33" s="3"/>
      <c r="U33" s="7"/>
      <c r="V33" s="16">
        <f>X34-W25</f>
        <v>89228336186.78656</v>
      </c>
      <c r="W33" s="8"/>
      <c r="X33" s="8"/>
      <c r="Y33" s="8"/>
      <c r="Z33" s="8"/>
      <c r="AA33" s="8"/>
      <c r="AB33" s="8"/>
      <c r="AC33" s="8"/>
      <c r="AD33" s="8"/>
      <c r="AE33" s="8"/>
      <c r="AF33" s="8"/>
      <c r="AG33" s="8"/>
      <c r="AH33" s="8"/>
      <c r="AI33" s="8"/>
      <c r="AJ33" s="8"/>
      <c r="AK33" s="8"/>
      <c r="AL33" s="8"/>
      <c r="AM33" s="8"/>
      <c r="AN33" s="8"/>
      <c r="AO33" s="8"/>
      <c r="AP33" s="8"/>
      <c r="AQ33" s="3"/>
      <c r="AR33" s="3"/>
    </row>
    <row r="34" spans="1:44" s="218" customFormat="1" ht="23.25">
      <c r="A34" s="878" t="s">
        <v>602</v>
      </c>
      <c r="B34" s="878"/>
      <c r="C34" s="878"/>
      <c r="D34" s="878"/>
      <c r="E34" s="878"/>
      <c r="F34" s="878"/>
      <c r="G34" s="878"/>
      <c r="H34" s="878"/>
      <c r="I34" s="878"/>
      <c r="J34" s="878"/>
      <c r="K34" s="878"/>
      <c r="L34" s="878"/>
      <c r="M34" s="878"/>
      <c r="N34" s="878"/>
      <c r="O34" s="3"/>
      <c r="P34" s="3"/>
      <c r="Q34" s="3"/>
      <c r="R34" s="3"/>
      <c r="S34" s="3"/>
      <c r="T34" s="3"/>
      <c r="U34" s="7"/>
      <c r="V34" s="3"/>
      <c r="W34" s="8"/>
      <c r="X34" s="14">
        <v>90692582257</v>
      </c>
      <c r="Y34" s="286"/>
      <c r="Z34" s="286"/>
      <c r="AA34" s="286"/>
      <c r="AB34" s="286"/>
      <c r="AC34" s="286"/>
      <c r="AD34" s="286"/>
      <c r="AE34" s="286"/>
      <c r="AF34" s="286"/>
      <c r="AG34" s="286"/>
      <c r="AH34" s="286"/>
      <c r="AI34" s="286"/>
      <c r="AJ34" s="286"/>
      <c r="AK34" s="286"/>
      <c r="AL34" s="286"/>
      <c r="AM34" s="286"/>
      <c r="AN34" s="286"/>
      <c r="AO34" s="286"/>
      <c r="AP34" s="286"/>
      <c r="AQ34" s="15">
        <f>X34-X25</f>
        <v>89228336186.78656</v>
      </c>
      <c r="AR34" s="3"/>
    </row>
    <row r="35" spans="1:44" s="218" customFormat="1" ht="45">
      <c r="A35" s="316" t="s">
        <v>593</v>
      </c>
      <c r="B35" s="316" t="s">
        <v>594</v>
      </c>
      <c r="C35" s="316" t="s">
        <v>589</v>
      </c>
      <c r="D35" s="316" t="s">
        <v>595</v>
      </c>
      <c r="E35" s="316" t="s">
        <v>589</v>
      </c>
      <c r="F35" s="316" t="s">
        <v>596</v>
      </c>
      <c r="G35" s="316" t="s">
        <v>589</v>
      </c>
      <c r="H35" s="316" t="s">
        <v>597</v>
      </c>
      <c r="I35" s="317"/>
      <c r="J35" s="317"/>
      <c r="K35" s="317"/>
      <c r="L35" s="317"/>
      <c r="M35" s="316" t="s">
        <v>597</v>
      </c>
      <c r="N35" s="316" t="s">
        <v>589</v>
      </c>
      <c r="O35" s="3"/>
      <c r="P35" s="3"/>
      <c r="Q35" s="3"/>
      <c r="R35" s="3"/>
      <c r="S35" s="3"/>
      <c r="T35" s="3"/>
      <c r="U35" s="7"/>
      <c r="V35" s="3"/>
      <c r="W35" s="8"/>
      <c r="X35" s="8"/>
      <c r="Y35" s="8"/>
      <c r="Z35" s="8"/>
      <c r="AA35" s="8"/>
      <c r="AB35" s="8"/>
      <c r="AC35" s="8"/>
      <c r="AD35" s="8"/>
      <c r="AE35" s="8"/>
      <c r="AF35" s="8"/>
      <c r="AG35" s="8"/>
      <c r="AH35" s="8"/>
      <c r="AI35" s="8"/>
      <c r="AJ35" s="8"/>
      <c r="AK35" s="8"/>
      <c r="AL35" s="8"/>
      <c r="AM35" s="8"/>
      <c r="AN35" s="8"/>
      <c r="AO35" s="8"/>
      <c r="AP35" s="8"/>
      <c r="AQ35" s="3"/>
      <c r="AR35" s="3"/>
    </row>
    <row r="36" spans="1:44" s="218" customFormat="1">
      <c r="A36" s="309">
        <f>X10</f>
        <v>71569267.213440001</v>
      </c>
      <c r="B36" s="309">
        <f>AC10</f>
        <v>25336204.800000001</v>
      </c>
      <c r="C36" s="315">
        <f>A36*B36/100</f>
        <v>18132936115056.414</v>
      </c>
      <c r="D36" s="309">
        <f>AD10</f>
        <v>25336204.800000001</v>
      </c>
      <c r="E36" s="314">
        <f>A36*D36/100</f>
        <v>18132936115056.414</v>
      </c>
      <c r="F36" s="309">
        <f>AE10</f>
        <v>0</v>
      </c>
      <c r="G36" s="314">
        <f>A36*F36/100</f>
        <v>0</v>
      </c>
      <c r="H36" s="309">
        <f>AF10</f>
        <v>0</v>
      </c>
      <c r="I36" s="304"/>
      <c r="J36" s="304"/>
      <c r="K36" s="304"/>
      <c r="L36" s="304"/>
      <c r="M36" s="325">
        <f>AE16</f>
        <v>0</v>
      </c>
      <c r="N36" s="314">
        <f>A36*H36/100</f>
        <v>0</v>
      </c>
      <c r="O36" s="3"/>
      <c r="P36" s="3"/>
      <c r="Q36" s="3"/>
      <c r="R36" s="3"/>
      <c r="S36" s="3"/>
      <c r="T36" s="3"/>
      <c r="U36" s="178">
        <f>W25-U29</f>
        <v>-58243450867.78656</v>
      </c>
      <c r="V36" s="3"/>
      <c r="W36" s="8"/>
      <c r="X36" s="8"/>
      <c r="Y36" s="8"/>
      <c r="Z36" s="8"/>
      <c r="AA36" s="8"/>
      <c r="AB36" s="8"/>
      <c r="AC36" s="8"/>
      <c r="AD36" s="8"/>
      <c r="AE36" s="8"/>
      <c r="AF36" s="8"/>
      <c r="AG36" s="8"/>
      <c r="AH36" s="8"/>
      <c r="AI36" s="8"/>
      <c r="AJ36" s="8"/>
      <c r="AK36" s="8"/>
      <c r="AL36" s="8"/>
      <c r="AM36" s="8"/>
      <c r="AN36" s="8"/>
      <c r="AO36" s="8"/>
      <c r="AP36" s="8"/>
      <c r="AQ36" s="3"/>
      <c r="AR36" s="3"/>
    </row>
    <row r="37" spans="1:44" s="218" customFormat="1">
      <c r="A37" s="303"/>
      <c r="B37" s="303"/>
      <c r="C37" s="303"/>
      <c r="D37" s="303"/>
      <c r="E37" s="303"/>
      <c r="F37" s="303"/>
      <c r="G37" s="303"/>
      <c r="H37" s="303"/>
      <c r="I37" s="304"/>
      <c r="J37" s="304"/>
      <c r="K37" s="304"/>
      <c r="L37" s="304"/>
      <c r="M37" s="305"/>
      <c r="N37" s="303"/>
      <c r="O37" s="3"/>
      <c r="P37" s="3"/>
      <c r="Q37" s="3"/>
      <c r="R37" s="3"/>
      <c r="S37" s="3"/>
      <c r="T37" s="3"/>
      <c r="U37" s="7"/>
      <c r="V37" s="3"/>
      <c r="W37" s="8"/>
      <c r="X37" s="8"/>
      <c r="Y37" s="8"/>
      <c r="Z37" s="8"/>
      <c r="AA37" s="8"/>
      <c r="AB37" s="8"/>
      <c r="AC37" s="8"/>
      <c r="AD37" s="8"/>
      <c r="AE37" s="8"/>
      <c r="AF37" s="8"/>
      <c r="AG37" s="8"/>
      <c r="AH37" s="8"/>
      <c r="AI37" s="8"/>
      <c r="AJ37" s="8"/>
      <c r="AK37" s="8"/>
      <c r="AL37" s="8"/>
      <c r="AM37" s="8"/>
      <c r="AN37" s="8"/>
      <c r="AO37" s="8"/>
      <c r="AP37" s="8"/>
      <c r="AQ37" s="3"/>
      <c r="AR37" s="3"/>
    </row>
    <row r="38" spans="1:44" s="218" customFormat="1">
      <c r="A38" s="3"/>
      <c r="B38" s="3"/>
      <c r="C38" s="3"/>
      <c r="D38" s="3"/>
      <c r="E38" s="3"/>
      <c r="F38" s="3"/>
      <c r="G38" s="3"/>
      <c r="H38" s="3"/>
      <c r="M38" s="5"/>
      <c r="N38" s="3"/>
      <c r="O38" s="3"/>
      <c r="P38" s="3"/>
      <c r="Q38" s="3"/>
      <c r="R38" s="3"/>
      <c r="S38" s="3"/>
      <c r="T38" s="3"/>
      <c r="U38" s="7"/>
      <c r="V38" s="3"/>
      <c r="W38" s="8"/>
      <c r="X38" s="8"/>
      <c r="Y38" s="8"/>
      <c r="Z38" s="8"/>
      <c r="AA38" s="8"/>
      <c r="AB38" s="8"/>
      <c r="AC38" s="8"/>
      <c r="AD38" s="8"/>
      <c r="AE38" s="8"/>
      <c r="AF38" s="8"/>
      <c r="AG38" s="8"/>
      <c r="AH38" s="8"/>
      <c r="AI38" s="8"/>
      <c r="AJ38" s="8"/>
      <c r="AK38" s="8"/>
      <c r="AL38" s="8"/>
      <c r="AM38" s="8"/>
      <c r="AN38" s="8"/>
      <c r="AO38" s="8"/>
      <c r="AP38" s="8"/>
      <c r="AQ38" s="3"/>
      <c r="AR38" s="3"/>
    </row>
    <row r="39" spans="1:44" s="218" customFormat="1" ht="15">
      <c r="A39" s="877" t="s">
        <v>603</v>
      </c>
      <c r="B39" s="877"/>
      <c r="C39" s="877"/>
      <c r="D39" s="877"/>
      <c r="E39" s="877"/>
      <c r="F39" s="877"/>
      <c r="G39" s="877"/>
      <c r="H39" s="877"/>
      <c r="I39" s="877"/>
      <c r="J39" s="877"/>
      <c r="K39" s="877"/>
      <c r="L39" s="877"/>
      <c r="M39" s="877"/>
      <c r="N39" s="877"/>
      <c r="O39" s="877"/>
      <c r="P39" s="3"/>
      <c r="Q39" s="3"/>
      <c r="R39" s="3"/>
      <c r="S39" s="3"/>
      <c r="T39" s="3"/>
      <c r="U39" s="7"/>
      <c r="V39" s="3"/>
      <c r="W39" s="8"/>
      <c r="X39" s="8"/>
      <c r="Y39" s="8"/>
      <c r="Z39" s="8"/>
      <c r="AA39" s="8"/>
      <c r="AB39" s="8"/>
      <c r="AC39" s="8"/>
      <c r="AD39" s="8"/>
      <c r="AE39" s="8"/>
      <c r="AF39" s="8"/>
      <c r="AG39" s="8"/>
      <c r="AH39" s="8"/>
      <c r="AI39" s="8"/>
      <c r="AJ39" s="8"/>
      <c r="AK39" s="8"/>
      <c r="AL39" s="8"/>
      <c r="AM39" s="8"/>
      <c r="AN39" s="8"/>
      <c r="AO39" s="8"/>
      <c r="AP39" s="8"/>
      <c r="AQ39" s="3"/>
      <c r="AR39" s="3"/>
    </row>
    <row r="40" spans="1:44" s="218" customFormat="1" ht="60">
      <c r="A40" s="318" t="s">
        <v>598</v>
      </c>
      <c r="B40" s="319" t="s">
        <v>587</v>
      </c>
      <c r="C40" s="319" t="s">
        <v>588</v>
      </c>
      <c r="D40" s="319" t="s">
        <v>589</v>
      </c>
      <c r="E40" s="319" t="s">
        <v>590</v>
      </c>
      <c r="F40" s="319" t="s">
        <v>589</v>
      </c>
      <c r="G40" s="319" t="s">
        <v>591</v>
      </c>
      <c r="H40" s="319" t="s">
        <v>589</v>
      </c>
      <c r="I40" s="319"/>
      <c r="J40" s="320"/>
      <c r="K40" s="320"/>
      <c r="L40" s="320"/>
      <c r="M40" s="319" t="s">
        <v>589</v>
      </c>
      <c r="N40" s="319" t="s">
        <v>592</v>
      </c>
      <c r="O40" s="319" t="s">
        <v>589</v>
      </c>
      <c r="P40" s="3"/>
      <c r="Q40" s="3"/>
      <c r="R40" s="3"/>
      <c r="S40" s="3"/>
      <c r="T40" s="3"/>
      <c r="U40" s="7"/>
      <c r="V40" s="3"/>
      <c r="W40" s="8"/>
      <c r="X40" s="8"/>
      <c r="Y40" s="8"/>
      <c r="Z40" s="8"/>
      <c r="AA40" s="8"/>
      <c r="AB40" s="8"/>
      <c r="AC40" s="8"/>
      <c r="AD40" s="8"/>
      <c r="AE40" s="8"/>
      <c r="AF40" s="8"/>
      <c r="AG40" s="8"/>
      <c r="AH40" s="8"/>
      <c r="AI40" s="8"/>
      <c r="AJ40" s="8"/>
      <c r="AK40" s="8"/>
      <c r="AL40" s="8"/>
      <c r="AM40" s="8"/>
      <c r="AN40" s="8"/>
      <c r="AO40" s="8"/>
      <c r="AP40" s="8"/>
      <c r="AQ40" s="3"/>
      <c r="AR40" s="3"/>
    </row>
    <row r="41" spans="1:44" s="218" customFormat="1">
      <c r="A41" s="303" t="s">
        <v>599</v>
      </c>
      <c r="B41" s="303">
        <f>O20</f>
        <v>1</v>
      </c>
      <c r="C41" s="311">
        <f>Y20</f>
        <v>0</v>
      </c>
      <c r="D41" s="314">
        <f>B41*C41/100</f>
        <v>0</v>
      </c>
      <c r="E41" s="303">
        <f>Z20</f>
        <v>0</v>
      </c>
      <c r="F41" s="314">
        <f>B41*E41/100</f>
        <v>0</v>
      </c>
      <c r="G41" s="303">
        <f>AA20</f>
        <v>0</v>
      </c>
      <c r="H41" s="314">
        <f>B41*G41/100</f>
        <v>0</v>
      </c>
      <c r="I41" s="304"/>
      <c r="J41" s="304"/>
      <c r="K41" s="304"/>
      <c r="L41" s="304"/>
      <c r="M41" s="305"/>
      <c r="N41" s="303">
        <f>AB20</f>
        <v>0</v>
      </c>
      <c r="O41" s="314">
        <f>B41*N41/100</f>
        <v>0</v>
      </c>
      <c r="P41" s="3"/>
      <c r="Q41" s="3"/>
      <c r="R41" s="3"/>
      <c r="S41" s="3"/>
      <c r="T41" s="3"/>
      <c r="U41" s="7"/>
      <c r="V41" s="3"/>
      <c r="W41" s="8"/>
      <c r="X41" s="8"/>
      <c r="Y41" s="8"/>
      <c r="Z41" s="8"/>
      <c r="AA41" s="8"/>
      <c r="AB41" s="8"/>
      <c r="AC41" s="8"/>
      <c r="AD41" s="8"/>
      <c r="AE41" s="8"/>
      <c r="AF41" s="8"/>
      <c r="AG41" s="8"/>
      <c r="AH41" s="8"/>
      <c r="AI41" s="8"/>
      <c r="AJ41" s="8"/>
      <c r="AK41" s="8"/>
      <c r="AL41" s="8"/>
      <c r="AM41" s="8"/>
      <c r="AN41" s="8"/>
      <c r="AO41" s="8"/>
      <c r="AP41" s="8"/>
      <c r="AQ41" s="3"/>
      <c r="AR41" s="3"/>
    </row>
    <row r="42" spans="1:44" s="218" customFormat="1">
      <c r="A42" s="303" t="s">
        <v>18</v>
      </c>
      <c r="B42" s="303">
        <f>O21</f>
        <v>100</v>
      </c>
      <c r="C42" s="314">
        <f>Y21</f>
        <v>0</v>
      </c>
      <c r="D42" s="314">
        <f>B42*C42/100</f>
        <v>0</v>
      </c>
      <c r="E42" s="314">
        <f>Z21</f>
        <v>0</v>
      </c>
      <c r="F42" s="314">
        <f>B42*E42/100</f>
        <v>0</v>
      </c>
      <c r="G42" s="314">
        <f>AA21</f>
        <v>0</v>
      </c>
      <c r="H42" s="314">
        <f>B42*G42/100</f>
        <v>0</v>
      </c>
      <c r="I42" s="304"/>
      <c r="J42" s="304"/>
      <c r="K42" s="304"/>
      <c r="L42" s="304"/>
      <c r="M42" s="305"/>
      <c r="N42" s="314">
        <f>AB21</f>
        <v>0</v>
      </c>
      <c r="O42" s="303"/>
      <c r="P42" s="3"/>
      <c r="Q42" s="3"/>
      <c r="R42" s="3"/>
      <c r="S42" s="3"/>
      <c r="T42" s="3"/>
      <c r="U42" s="7"/>
      <c r="V42" s="3"/>
      <c r="W42" s="8"/>
      <c r="X42" s="8"/>
      <c r="Y42" s="8"/>
      <c r="Z42" s="8"/>
      <c r="AA42" s="8"/>
      <c r="AB42" s="8"/>
      <c r="AC42" s="8"/>
      <c r="AD42" s="8"/>
      <c r="AE42" s="8"/>
      <c r="AF42" s="8"/>
      <c r="AG42" s="8"/>
      <c r="AH42" s="8"/>
      <c r="AI42" s="8"/>
      <c r="AJ42" s="8"/>
      <c r="AK42" s="8"/>
      <c r="AL42" s="8"/>
      <c r="AM42" s="8"/>
      <c r="AN42" s="8"/>
      <c r="AO42" s="8"/>
      <c r="AP42" s="8"/>
      <c r="AQ42" s="3"/>
      <c r="AR42" s="3"/>
    </row>
    <row r="43" spans="1:44" s="218" customFormat="1">
      <c r="A43" s="7"/>
      <c r="B43" s="7"/>
      <c r="C43" s="7"/>
      <c r="D43" s="7"/>
      <c r="E43" s="7"/>
      <c r="F43" s="7"/>
      <c r="G43" s="7"/>
      <c r="H43" s="7"/>
      <c r="I43" s="306"/>
      <c r="J43" s="306"/>
      <c r="K43" s="306"/>
      <c r="L43" s="306"/>
      <c r="M43" s="307"/>
      <c r="N43" s="7"/>
      <c r="O43" s="3"/>
      <c r="P43" s="3"/>
      <c r="Q43" s="3"/>
      <c r="R43" s="3"/>
      <c r="S43" s="3"/>
      <c r="T43" s="3"/>
      <c r="U43" s="7"/>
      <c r="V43" s="3"/>
      <c r="W43" s="8"/>
      <c r="X43" s="8"/>
      <c r="Y43" s="8"/>
      <c r="Z43" s="8"/>
      <c r="AA43" s="8"/>
      <c r="AB43" s="8"/>
      <c r="AC43" s="8"/>
      <c r="AD43" s="8"/>
      <c r="AE43" s="8"/>
      <c r="AF43" s="8"/>
      <c r="AG43" s="8"/>
      <c r="AH43" s="8"/>
      <c r="AI43" s="8"/>
      <c r="AJ43" s="8"/>
      <c r="AK43" s="8"/>
      <c r="AL43" s="8"/>
      <c r="AM43" s="8"/>
      <c r="AN43" s="8"/>
      <c r="AO43" s="8"/>
      <c r="AP43" s="8"/>
      <c r="AQ43" s="3"/>
      <c r="AR43" s="3"/>
    </row>
    <row r="44" spans="1:44" s="218" customFormat="1" ht="15">
      <c r="A44" s="878" t="s">
        <v>604</v>
      </c>
      <c r="B44" s="878"/>
      <c r="C44" s="878"/>
      <c r="D44" s="878"/>
      <c r="E44" s="878"/>
      <c r="F44" s="878"/>
      <c r="G44" s="878"/>
      <c r="H44" s="878"/>
      <c r="I44" s="878"/>
      <c r="J44" s="878"/>
      <c r="K44" s="878"/>
      <c r="L44" s="878"/>
      <c r="M44" s="878"/>
      <c r="N44" s="878"/>
      <c r="O44" s="3"/>
      <c r="P44" s="3"/>
      <c r="Q44" s="3"/>
      <c r="R44" s="3"/>
      <c r="S44" s="3"/>
      <c r="T44" s="3"/>
      <c r="U44" s="7"/>
      <c r="V44" s="3"/>
      <c r="W44" s="8"/>
      <c r="X44" s="8"/>
      <c r="Y44" s="8"/>
      <c r="Z44" s="8"/>
      <c r="AA44" s="8"/>
      <c r="AB44" s="8"/>
      <c r="AC44" s="8"/>
      <c r="AD44" s="8"/>
      <c r="AE44" s="8"/>
      <c r="AF44" s="8"/>
      <c r="AG44" s="8"/>
      <c r="AH44" s="8"/>
      <c r="AI44" s="8"/>
      <c r="AJ44" s="8"/>
      <c r="AK44" s="8"/>
      <c r="AL44" s="8"/>
      <c r="AM44" s="8"/>
      <c r="AN44" s="8"/>
      <c r="AO44" s="8"/>
      <c r="AP44" s="8"/>
      <c r="AQ44" s="3"/>
      <c r="AR44" s="3"/>
    </row>
    <row r="45" spans="1:44" s="218" customFormat="1" ht="45">
      <c r="A45" s="316" t="s">
        <v>593</v>
      </c>
      <c r="B45" s="316" t="s">
        <v>594</v>
      </c>
      <c r="C45" s="316" t="s">
        <v>589</v>
      </c>
      <c r="D45" s="316" t="s">
        <v>595</v>
      </c>
      <c r="E45" s="316" t="s">
        <v>589</v>
      </c>
      <c r="F45" s="316" t="s">
        <v>596</v>
      </c>
      <c r="G45" s="316" t="s">
        <v>589</v>
      </c>
      <c r="H45" s="316" t="s">
        <v>597</v>
      </c>
      <c r="I45" s="317"/>
      <c r="J45" s="317"/>
      <c r="K45" s="317"/>
      <c r="L45" s="317"/>
      <c r="M45" s="316" t="s">
        <v>597</v>
      </c>
      <c r="N45" s="316" t="s">
        <v>589</v>
      </c>
      <c r="O45" s="3"/>
      <c r="P45" s="3"/>
      <c r="Q45" s="3"/>
      <c r="R45" s="3"/>
      <c r="S45" s="3"/>
      <c r="T45" s="3"/>
      <c r="U45" s="7"/>
      <c r="V45" s="3"/>
      <c r="W45" s="8"/>
      <c r="X45" s="8"/>
      <c r="Y45" s="8"/>
      <c r="Z45" s="8"/>
      <c r="AA45" s="8"/>
      <c r="AB45" s="8"/>
      <c r="AC45" s="8"/>
      <c r="AD45" s="8"/>
      <c r="AE45" s="8"/>
      <c r="AF45" s="8"/>
      <c r="AG45" s="8"/>
      <c r="AH45" s="8"/>
      <c r="AI45" s="8"/>
      <c r="AJ45" s="8"/>
      <c r="AK45" s="8"/>
      <c r="AL45" s="8"/>
      <c r="AM45" s="8"/>
      <c r="AN45" s="8"/>
      <c r="AO45" s="8"/>
      <c r="AP45" s="8"/>
      <c r="AQ45" s="3"/>
      <c r="AR45" s="3"/>
    </row>
    <row r="46" spans="1:44" s="218" customFormat="1" ht="15">
      <c r="A46" s="321">
        <f>X20</f>
        <v>564380268.64031994</v>
      </c>
      <c r="B46" s="321">
        <f>AC25</f>
        <v>299033062.79999995</v>
      </c>
      <c r="C46" s="363">
        <f>A46*B46/100</f>
        <v>1687683603154016.3</v>
      </c>
      <c r="D46" s="321">
        <f>AD20</f>
        <v>80832160.400000006</v>
      </c>
      <c r="E46" s="364">
        <f>A46*D46/100</f>
        <v>456200764013294.31</v>
      </c>
      <c r="F46" s="321">
        <f>AE25</f>
        <v>0</v>
      </c>
      <c r="G46" s="364">
        <f>A46*F46/100</f>
        <v>0</v>
      </c>
      <c r="H46" s="321">
        <f>AF25</f>
        <v>0</v>
      </c>
      <c r="I46" s="322"/>
      <c r="J46" s="322"/>
      <c r="K46" s="322"/>
      <c r="L46" s="322"/>
      <c r="M46" s="326">
        <f>AE22</f>
        <v>0</v>
      </c>
      <c r="N46" s="364">
        <f>A46*H46/100</f>
        <v>0</v>
      </c>
      <c r="O46" s="3"/>
      <c r="P46" s="3"/>
      <c r="Q46" s="3"/>
      <c r="R46" s="3"/>
      <c r="S46" s="3"/>
      <c r="T46" s="3"/>
      <c r="U46" s="7"/>
      <c r="V46" s="3"/>
      <c r="W46" s="8"/>
      <c r="X46" s="8"/>
      <c r="Y46" s="8"/>
      <c r="Z46" s="8"/>
      <c r="AA46" s="8"/>
      <c r="AB46" s="8"/>
      <c r="AC46" s="8"/>
      <c r="AD46" s="8"/>
      <c r="AE46" s="8"/>
      <c r="AF46" s="8"/>
      <c r="AG46" s="8"/>
      <c r="AH46" s="8"/>
      <c r="AI46" s="8"/>
      <c r="AJ46" s="8"/>
      <c r="AK46" s="8"/>
      <c r="AL46" s="8"/>
      <c r="AM46" s="8"/>
      <c r="AN46" s="8"/>
      <c r="AO46" s="8"/>
      <c r="AP46" s="8"/>
      <c r="AQ46" s="3"/>
      <c r="AR46" s="3"/>
    </row>
    <row r="47" spans="1:44" s="218" customFormat="1">
      <c r="A47" s="303"/>
      <c r="B47" s="303"/>
      <c r="C47" s="303"/>
      <c r="D47" s="303"/>
      <c r="E47" s="303"/>
      <c r="F47" s="303"/>
      <c r="G47" s="303"/>
      <c r="H47" s="303"/>
      <c r="I47" s="304"/>
      <c r="J47" s="304"/>
      <c r="K47" s="304"/>
      <c r="L47" s="304"/>
      <c r="M47" s="305"/>
      <c r="N47" s="303"/>
      <c r="O47" s="3"/>
      <c r="P47" s="3"/>
      <c r="Q47" s="3"/>
      <c r="R47" s="3"/>
      <c r="S47" s="3"/>
      <c r="T47" s="3"/>
      <c r="U47" s="7"/>
      <c r="V47" s="3"/>
      <c r="W47" s="8"/>
      <c r="X47" s="8"/>
      <c r="Y47" s="8"/>
      <c r="Z47" s="8"/>
      <c r="AA47" s="8"/>
      <c r="AB47" s="8"/>
      <c r="AC47" s="8"/>
      <c r="AD47" s="8"/>
      <c r="AE47" s="8"/>
      <c r="AF47" s="8"/>
      <c r="AG47" s="8"/>
      <c r="AH47" s="8"/>
      <c r="AI47" s="8"/>
      <c r="AJ47" s="8"/>
      <c r="AK47" s="8"/>
      <c r="AL47" s="8"/>
      <c r="AM47" s="8"/>
      <c r="AN47" s="8"/>
      <c r="AO47" s="8"/>
      <c r="AP47" s="8"/>
      <c r="AQ47" s="3"/>
      <c r="AR47" s="3"/>
    </row>
    <row r="48" spans="1:44" s="218" customFormat="1">
      <c r="A48" s="3"/>
      <c r="B48" s="3"/>
      <c r="C48" s="3"/>
      <c r="D48" s="3"/>
      <c r="E48" s="3"/>
      <c r="F48" s="3"/>
      <c r="G48" s="3"/>
      <c r="H48" s="3"/>
      <c r="M48" s="5"/>
      <c r="N48" s="3"/>
      <c r="O48" s="3"/>
      <c r="P48" s="3"/>
      <c r="Q48" s="3"/>
      <c r="R48" s="3"/>
      <c r="S48" s="3"/>
      <c r="T48" s="3"/>
      <c r="U48" s="7"/>
      <c r="V48" s="3"/>
      <c r="W48" s="8"/>
      <c r="X48" s="8"/>
      <c r="Y48" s="8"/>
      <c r="Z48" s="8"/>
      <c r="AA48" s="8"/>
      <c r="AB48" s="8"/>
      <c r="AC48" s="8"/>
      <c r="AD48" s="8"/>
      <c r="AE48" s="8"/>
      <c r="AF48" s="8"/>
      <c r="AG48" s="8"/>
      <c r="AH48" s="8"/>
      <c r="AI48" s="8"/>
      <c r="AJ48" s="8"/>
      <c r="AK48" s="8"/>
      <c r="AL48" s="8"/>
      <c r="AM48" s="8"/>
      <c r="AN48" s="8"/>
      <c r="AO48" s="8"/>
      <c r="AP48" s="8"/>
      <c r="AQ48" s="3"/>
      <c r="AR48" s="3"/>
    </row>
    <row r="49" spans="1:44" s="218" customFormat="1" ht="15">
      <c r="A49" s="877" t="s">
        <v>605</v>
      </c>
      <c r="B49" s="877"/>
      <c r="C49" s="877"/>
      <c r="D49" s="877"/>
      <c r="E49" s="877"/>
      <c r="F49" s="877"/>
      <c r="G49" s="877"/>
      <c r="H49" s="877"/>
      <c r="I49" s="877"/>
      <c r="J49" s="877"/>
      <c r="K49" s="877"/>
      <c r="L49" s="877"/>
      <c r="M49" s="877"/>
      <c r="N49" s="877"/>
      <c r="O49" s="877"/>
      <c r="P49" s="3"/>
      <c r="Q49" s="3"/>
      <c r="R49" s="3"/>
      <c r="S49" s="3"/>
      <c r="T49" s="3"/>
      <c r="U49" s="7"/>
      <c r="V49" s="3"/>
      <c r="W49" s="8"/>
      <c r="X49" s="8"/>
      <c r="Y49" s="8"/>
      <c r="Z49" s="8"/>
      <c r="AA49" s="8"/>
      <c r="AB49" s="8"/>
      <c r="AC49" s="8"/>
      <c r="AD49" s="8"/>
      <c r="AE49" s="8"/>
      <c r="AF49" s="8"/>
      <c r="AG49" s="8"/>
      <c r="AH49" s="8"/>
      <c r="AI49" s="8"/>
      <c r="AJ49" s="8"/>
      <c r="AK49" s="8"/>
      <c r="AL49" s="8"/>
      <c r="AM49" s="8"/>
      <c r="AN49" s="8"/>
      <c r="AO49" s="8"/>
      <c r="AP49" s="8"/>
      <c r="AQ49" s="3"/>
      <c r="AR49" s="3"/>
    </row>
    <row r="50" spans="1:44" s="218" customFormat="1" ht="60">
      <c r="A50" s="318" t="s">
        <v>598</v>
      </c>
      <c r="B50" s="319" t="s">
        <v>587</v>
      </c>
      <c r="C50" s="319" t="s">
        <v>588</v>
      </c>
      <c r="D50" s="319" t="s">
        <v>589</v>
      </c>
      <c r="E50" s="319" t="s">
        <v>590</v>
      </c>
      <c r="F50" s="319" t="s">
        <v>589</v>
      </c>
      <c r="G50" s="319" t="s">
        <v>591</v>
      </c>
      <c r="H50" s="319" t="s">
        <v>589</v>
      </c>
      <c r="I50" s="319"/>
      <c r="J50" s="320"/>
      <c r="K50" s="320"/>
      <c r="L50" s="320"/>
      <c r="M50" s="319" t="s">
        <v>589</v>
      </c>
      <c r="N50" s="319" t="s">
        <v>592</v>
      </c>
      <c r="O50" s="319" t="s">
        <v>589</v>
      </c>
      <c r="P50" s="3"/>
      <c r="Q50" s="3"/>
      <c r="R50" s="3"/>
      <c r="S50" s="3"/>
      <c r="T50" s="3"/>
      <c r="U50" s="7"/>
      <c r="V50" s="3"/>
      <c r="W50" s="8"/>
      <c r="X50" s="8"/>
      <c r="Y50" s="8"/>
      <c r="Z50" s="8"/>
      <c r="AA50" s="8"/>
      <c r="AB50" s="8"/>
      <c r="AC50" s="8"/>
      <c r="AD50" s="8"/>
      <c r="AE50" s="8"/>
      <c r="AF50" s="8"/>
      <c r="AG50" s="8"/>
      <c r="AH50" s="8"/>
      <c r="AI50" s="8"/>
      <c r="AJ50" s="8"/>
      <c r="AK50" s="8"/>
      <c r="AL50" s="8"/>
      <c r="AM50" s="8"/>
      <c r="AN50" s="8"/>
      <c r="AO50" s="8"/>
      <c r="AP50" s="8"/>
      <c r="AQ50" s="3"/>
      <c r="AR50" s="3"/>
    </row>
    <row r="51" spans="1:44" s="218" customFormat="1">
      <c r="A51" s="303" t="s">
        <v>599</v>
      </c>
      <c r="B51" s="303">
        <f>O25</f>
        <v>1</v>
      </c>
      <c r="C51" s="311">
        <f>Y25</f>
        <v>0</v>
      </c>
      <c r="D51" s="314">
        <f>B51*C51/100</f>
        <v>0</v>
      </c>
      <c r="E51" s="311">
        <f>Z25</f>
        <v>0</v>
      </c>
      <c r="F51" s="314">
        <f>B51*E51/100</f>
        <v>0</v>
      </c>
      <c r="G51" s="311">
        <f>AA25</f>
        <v>0</v>
      </c>
      <c r="H51" s="314">
        <f>B51*G51/100</f>
        <v>0</v>
      </c>
      <c r="I51" s="304"/>
      <c r="J51" s="304"/>
      <c r="K51" s="304"/>
      <c r="L51" s="304"/>
      <c r="M51" s="305"/>
      <c r="N51" s="311">
        <f>AB25</f>
        <v>0</v>
      </c>
      <c r="O51" s="314">
        <f>B51*N51/100</f>
        <v>0</v>
      </c>
      <c r="P51" s="3"/>
      <c r="Q51" s="3"/>
      <c r="R51" s="3"/>
      <c r="S51" s="3"/>
      <c r="T51" s="3"/>
      <c r="U51" s="7"/>
      <c r="V51" s="3"/>
      <c r="W51" s="8"/>
      <c r="X51" s="8"/>
      <c r="Y51" s="8"/>
      <c r="Z51" s="8"/>
      <c r="AA51" s="8"/>
      <c r="AB51" s="8"/>
      <c r="AC51" s="8"/>
      <c r="AD51" s="8"/>
      <c r="AE51" s="8"/>
      <c r="AF51" s="8"/>
      <c r="AG51" s="8"/>
      <c r="AH51" s="8"/>
      <c r="AI51" s="8"/>
      <c r="AJ51" s="8"/>
      <c r="AK51" s="8"/>
      <c r="AL51" s="8"/>
      <c r="AM51" s="8"/>
      <c r="AN51" s="8"/>
      <c r="AO51" s="8"/>
      <c r="AP51" s="8"/>
      <c r="AQ51" s="3"/>
      <c r="AR51" s="3"/>
    </row>
    <row r="52" spans="1:44">
      <c r="A52" s="303" t="s">
        <v>18</v>
      </c>
      <c r="B52" s="303">
        <f>O26</f>
        <v>100</v>
      </c>
      <c r="C52" s="314">
        <f>Y26</f>
        <v>0</v>
      </c>
      <c r="D52" s="314">
        <f>B52*C52/100</f>
        <v>0</v>
      </c>
      <c r="E52" s="314">
        <f>Z26</f>
        <v>0</v>
      </c>
      <c r="F52" s="314">
        <f>B52*E52/100</f>
        <v>0</v>
      </c>
      <c r="G52" s="311">
        <f>AA26</f>
        <v>0</v>
      </c>
      <c r="H52" s="314">
        <f>B52*G52/100</f>
        <v>0</v>
      </c>
      <c r="I52" s="304"/>
      <c r="J52" s="304"/>
      <c r="K52" s="304"/>
      <c r="L52" s="304"/>
      <c r="M52" s="305"/>
      <c r="N52" s="311">
        <f>AB26</f>
        <v>0</v>
      </c>
      <c r="O52" s="314">
        <f>B52*N52/100</f>
        <v>0</v>
      </c>
    </row>
    <row r="53" spans="1:44">
      <c r="A53" s="7"/>
      <c r="B53" s="7"/>
      <c r="C53" s="7"/>
      <c r="D53" s="7"/>
      <c r="E53" s="7"/>
      <c r="F53" s="7"/>
      <c r="G53" s="7"/>
      <c r="H53" s="7"/>
      <c r="I53" s="306"/>
      <c r="J53" s="306"/>
      <c r="K53" s="306"/>
      <c r="L53" s="306"/>
      <c r="M53" s="307"/>
      <c r="N53" s="7"/>
    </row>
    <row r="54" spans="1:44" ht="15">
      <c r="A54" s="878" t="s">
        <v>606</v>
      </c>
      <c r="B54" s="878"/>
      <c r="C54" s="878"/>
      <c r="D54" s="878"/>
      <c r="E54" s="878"/>
      <c r="F54" s="878"/>
      <c r="G54" s="878"/>
      <c r="H54" s="878"/>
      <c r="I54" s="878"/>
      <c r="J54" s="878"/>
      <c r="K54" s="878"/>
      <c r="L54" s="878"/>
      <c r="M54" s="878"/>
      <c r="N54" s="878"/>
    </row>
    <row r="55" spans="1:44" ht="45">
      <c r="A55" s="316" t="s">
        <v>593</v>
      </c>
      <c r="B55" s="316" t="s">
        <v>594</v>
      </c>
      <c r="C55" s="316" t="s">
        <v>589</v>
      </c>
      <c r="D55" s="316" t="s">
        <v>595</v>
      </c>
      <c r="E55" s="316" t="s">
        <v>589</v>
      </c>
      <c r="F55" s="316" t="s">
        <v>596</v>
      </c>
      <c r="G55" s="316" t="s">
        <v>589</v>
      </c>
      <c r="H55" s="316" t="s">
        <v>597</v>
      </c>
      <c r="I55" s="317"/>
      <c r="J55" s="317"/>
      <c r="K55" s="317"/>
      <c r="L55" s="317"/>
      <c r="M55" s="316" t="s">
        <v>597</v>
      </c>
      <c r="N55" s="316" t="s">
        <v>589</v>
      </c>
    </row>
    <row r="56" spans="1:44">
      <c r="A56" s="309">
        <f>X25</f>
        <v>1464246070.2134399</v>
      </c>
      <c r="B56" s="309">
        <f>AC25</f>
        <v>299033062.79999995</v>
      </c>
      <c r="C56" s="314">
        <f>A56*B56/100</f>
        <v>4378579870687887.5</v>
      </c>
      <c r="D56" s="309">
        <f>AD25</f>
        <v>641286705.79999995</v>
      </c>
      <c r="E56" s="314">
        <f>A56*D56/100</f>
        <v>9390015388477722</v>
      </c>
      <c r="F56" s="309">
        <f>AE25</f>
        <v>0</v>
      </c>
      <c r="G56" s="314">
        <f>A56*F56/100</f>
        <v>0</v>
      </c>
      <c r="H56" s="309">
        <f>AF25</f>
        <v>0</v>
      </c>
      <c r="I56" s="304"/>
      <c r="J56" s="304"/>
      <c r="K56" s="304"/>
      <c r="L56" s="304"/>
      <c r="M56" s="325">
        <f>AE27</f>
        <v>0</v>
      </c>
      <c r="N56" s="314">
        <f>A56*H56/100</f>
        <v>0</v>
      </c>
    </row>
    <row r="57" spans="1:44">
      <c r="A57" s="303"/>
      <c r="B57" s="303"/>
      <c r="C57" s="303"/>
      <c r="D57" s="303"/>
      <c r="E57" s="303"/>
      <c r="F57" s="303"/>
      <c r="G57" s="303"/>
      <c r="H57" s="303"/>
      <c r="I57" s="304"/>
      <c r="J57" s="304"/>
      <c r="K57" s="304"/>
      <c r="L57" s="304"/>
      <c r="M57" s="305"/>
      <c r="N57" s="303"/>
    </row>
    <row r="58" spans="1:44">
      <c r="I58" s="2"/>
      <c r="M58" s="5"/>
      <c r="N58" s="3"/>
    </row>
    <row r="59" spans="1:44">
      <c r="I59" s="2"/>
      <c r="M59" s="5"/>
      <c r="N59" s="3"/>
    </row>
    <row r="60" spans="1:44">
      <c r="I60" s="2"/>
      <c r="M60" s="5"/>
      <c r="N60" s="3"/>
    </row>
    <row r="61" spans="1:44" ht="15">
      <c r="A61" s="877" t="s">
        <v>636</v>
      </c>
      <c r="B61" s="877"/>
      <c r="C61" s="877"/>
      <c r="D61" s="877"/>
      <c r="E61" s="877"/>
      <c r="F61" s="877"/>
      <c r="G61" s="877"/>
      <c r="H61" s="877"/>
      <c r="I61" s="877"/>
      <c r="J61" s="877"/>
      <c r="K61" s="877"/>
      <c r="L61" s="877"/>
      <c r="M61" s="877"/>
      <c r="N61" s="877"/>
      <c r="O61" s="877"/>
    </row>
    <row r="62" spans="1:44" ht="60">
      <c r="A62" s="318" t="s">
        <v>598</v>
      </c>
      <c r="B62" s="319" t="s">
        <v>587</v>
      </c>
      <c r="C62" s="319" t="s">
        <v>588</v>
      </c>
      <c r="D62" s="319" t="s">
        <v>589</v>
      </c>
      <c r="E62" s="319" t="s">
        <v>590</v>
      </c>
      <c r="F62" s="319" t="s">
        <v>589</v>
      </c>
      <c r="G62" s="319" t="s">
        <v>591</v>
      </c>
      <c r="H62" s="319" t="s">
        <v>589</v>
      </c>
      <c r="I62" s="319"/>
      <c r="J62" s="320"/>
      <c r="K62" s="320"/>
      <c r="L62" s="320"/>
      <c r="M62" s="320"/>
      <c r="N62" s="319" t="s">
        <v>592</v>
      </c>
      <c r="O62" s="319" t="s">
        <v>589</v>
      </c>
    </row>
    <row r="63" spans="1:44">
      <c r="A63" s="303" t="s">
        <v>599</v>
      </c>
      <c r="B63" s="303">
        <f>B51+B41+B32</f>
        <v>158</v>
      </c>
      <c r="C63" s="311">
        <f>C51+C41+C32</f>
        <v>0</v>
      </c>
      <c r="D63" s="313">
        <f>B63*C63/100</f>
        <v>0</v>
      </c>
      <c r="E63" s="303">
        <f>E51+E41+E32</f>
        <v>0</v>
      </c>
      <c r="F63" s="314">
        <f>B63*E63/100</f>
        <v>0</v>
      </c>
      <c r="G63" s="303">
        <f>G51+G41+G32</f>
        <v>0</v>
      </c>
      <c r="H63" s="314">
        <f>B63*G63/100</f>
        <v>0</v>
      </c>
      <c r="I63" s="304"/>
      <c r="J63" s="304"/>
      <c r="K63" s="304"/>
      <c r="L63" s="304"/>
      <c r="M63" s="305"/>
      <c r="N63" s="303">
        <f>N51+N41+N32</f>
        <v>0</v>
      </c>
      <c r="O63" s="314">
        <f>B63*N63/100</f>
        <v>0</v>
      </c>
    </row>
    <row r="64" spans="1:44">
      <c r="A64" s="303" t="s">
        <v>18</v>
      </c>
      <c r="B64" s="314">
        <v>1</v>
      </c>
      <c r="C64" s="314">
        <f>C52+C42+C33</f>
        <v>0</v>
      </c>
      <c r="D64" s="314">
        <f>B64*C64/100</f>
        <v>0</v>
      </c>
      <c r="E64" s="314">
        <f>E52+E42+E33</f>
        <v>0</v>
      </c>
      <c r="F64" s="314">
        <f>B64*E64/100</f>
        <v>0</v>
      </c>
      <c r="G64" s="314">
        <f>G52+G42+G33</f>
        <v>0</v>
      </c>
      <c r="H64" s="314">
        <f>B64*G64/100</f>
        <v>0</v>
      </c>
      <c r="I64" s="304"/>
      <c r="J64" s="304"/>
      <c r="K64" s="304"/>
      <c r="L64" s="304"/>
      <c r="M64" s="305"/>
      <c r="N64" s="314">
        <f>N52+N42+N33</f>
        <v>0</v>
      </c>
      <c r="O64" s="314">
        <f>B64*N64/100</f>
        <v>0</v>
      </c>
    </row>
    <row r="65" spans="1:14">
      <c r="A65" s="7"/>
      <c r="B65" s="7"/>
      <c r="C65" s="7"/>
      <c r="D65" s="7"/>
      <c r="E65" s="7"/>
      <c r="F65" s="7"/>
      <c r="G65" s="7"/>
      <c r="H65" s="7"/>
      <c r="I65" s="306"/>
      <c r="J65" s="306"/>
      <c r="K65" s="306"/>
      <c r="L65" s="306"/>
      <c r="M65" s="307"/>
      <c r="N65" s="7"/>
    </row>
    <row r="66" spans="1:14" ht="15">
      <c r="A66" s="878" t="s">
        <v>637</v>
      </c>
      <c r="B66" s="878"/>
      <c r="C66" s="878"/>
      <c r="D66" s="878"/>
      <c r="E66" s="878"/>
      <c r="F66" s="878"/>
      <c r="G66" s="878"/>
      <c r="H66" s="878"/>
      <c r="I66" s="878"/>
      <c r="J66" s="878"/>
      <c r="K66" s="878"/>
      <c r="L66" s="878"/>
      <c r="M66" s="878"/>
      <c r="N66" s="878"/>
    </row>
    <row r="67" spans="1:14" ht="45">
      <c r="A67" s="316" t="s">
        <v>593</v>
      </c>
      <c r="B67" s="316" t="s">
        <v>594</v>
      </c>
      <c r="C67" s="316" t="s">
        <v>589</v>
      </c>
      <c r="D67" s="316" t="s">
        <v>595</v>
      </c>
      <c r="E67" s="316" t="s">
        <v>589</v>
      </c>
      <c r="F67" s="316" t="s">
        <v>596</v>
      </c>
      <c r="G67" s="316" t="s">
        <v>589</v>
      </c>
      <c r="H67" s="316" t="s">
        <v>597</v>
      </c>
      <c r="I67" s="317"/>
      <c r="J67" s="317"/>
      <c r="K67" s="317"/>
      <c r="L67" s="317"/>
      <c r="M67" s="316" t="s">
        <v>597</v>
      </c>
      <c r="N67" s="316" t="s">
        <v>589</v>
      </c>
    </row>
    <row r="68" spans="1:14">
      <c r="A68" s="309">
        <f>A56+A46+A36</f>
        <v>2100195606.0671997</v>
      </c>
      <c r="B68" s="309">
        <f>B56+B46+B36</f>
        <v>623402330.39999986</v>
      </c>
      <c r="C68" s="312">
        <f>A68*B68/100</f>
        <v>1.3092668351181324E+16</v>
      </c>
      <c r="D68" s="309">
        <f>D56+D46+D36</f>
        <v>747455070.99999988</v>
      </c>
      <c r="E68" s="314">
        <f>A68*D68/100</f>
        <v>1.5698018558468464E+16</v>
      </c>
      <c r="F68" s="309">
        <f>F56+F46+F36</f>
        <v>0</v>
      </c>
      <c r="G68" s="314">
        <f>A68*F68/100</f>
        <v>0</v>
      </c>
      <c r="H68" s="309">
        <f>H56+H46+H36</f>
        <v>0</v>
      </c>
      <c r="I68" s="304"/>
      <c r="J68" s="304"/>
      <c r="K68" s="304"/>
      <c r="L68" s="304"/>
      <c r="M68" s="325">
        <f>M56+M46+M36</f>
        <v>0</v>
      </c>
      <c r="N68" s="314">
        <f>A68*H68/100</f>
        <v>0</v>
      </c>
    </row>
    <row r="69" spans="1:14">
      <c r="A69" s="303"/>
      <c r="B69" s="303"/>
      <c r="C69" s="303"/>
      <c r="D69" s="303"/>
      <c r="E69" s="303"/>
      <c r="F69" s="303"/>
      <c r="G69" s="303"/>
      <c r="H69" s="303"/>
      <c r="I69" s="304"/>
      <c r="J69" s="304"/>
      <c r="K69" s="304"/>
      <c r="L69" s="304"/>
      <c r="M69" s="305"/>
      <c r="N69" s="303"/>
    </row>
  </sheetData>
  <mergeCells count="69">
    <mergeCell ref="A54:N54"/>
    <mergeCell ref="A61:O61"/>
    <mergeCell ref="A66:N66"/>
    <mergeCell ref="E23:E24"/>
    <mergeCell ref="F23:F24"/>
    <mergeCell ref="A49:O49"/>
    <mergeCell ref="A44:N44"/>
    <mergeCell ref="A39:O39"/>
    <mergeCell ref="A30:O30"/>
    <mergeCell ref="A34:N34"/>
    <mergeCell ref="B3:AR3"/>
    <mergeCell ref="A4:AR4"/>
    <mergeCell ref="A10:N10"/>
    <mergeCell ref="A25:N26"/>
    <mergeCell ref="D13:D19"/>
    <mergeCell ref="E13:E19"/>
    <mergeCell ref="F13:F19"/>
    <mergeCell ref="M13:M19"/>
    <mergeCell ref="A22:A24"/>
    <mergeCell ref="B22:B24"/>
    <mergeCell ref="G22:G24"/>
    <mergeCell ref="M22:M24"/>
    <mergeCell ref="C23:C24"/>
    <mergeCell ref="D23:D24"/>
    <mergeCell ref="A8:A9"/>
    <mergeCell ref="B8:B9"/>
    <mergeCell ref="AQ6:AQ7"/>
    <mergeCell ref="G8:G9"/>
    <mergeCell ref="AS8:AS24"/>
    <mergeCell ref="A11:A19"/>
    <mergeCell ref="B11:B19"/>
    <mergeCell ref="G11:G19"/>
    <mergeCell ref="C13:C19"/>
    <mergeCell ref="A20:N21"/>
    <mergeCell ref="AC20:AC21"/>
    <mergeCell ref="W20:W21"/>
    <mergeCell ref="X20:X21"/>
    <mergeCell ref="A5:AR5"/>
    <mergeCell ref="A6:B6"/>
    <mergeCell ref="C6:F6"/>
    <mergeCell ref="H6:K6"/>
    <mergeCell ref="L6:L7"/>
    <mergeCell ref="M6:M7"/>
    <mergeCell ref="N6:N7"/>
    <mergeCell ref="O6:O7"/>
    <mergeCell ref="P6:P7"/>
    <mergeCell ref="Q6:Q7"/>
    <mergeCell ref="AR6:AR7"/>
    <mergeCell ref="R6:R7"/>
    <mergeCell ref="S6:S7"/>
    <mergeCell ref="T6:T7"/>
    <mergeCell ref="U6:X6"/>
    <mergeCell ref="Y6:AE6"/>
    <mergeCell ref="A1:AR1"/>
    <mergeCell ref="AT1:AX1"/>
    <mergeCell ref="A2:AR2"/>
    <mergeCell ref="W25:W26"/>
    <mergeCell ref="X25:X26"/>
    <mergeCell ref="AC25:AC26"/>
    <mergeCell ref="AD25:AD26"/>
    <mergeCell ref="AE25:AE26"/>
    <mergeCell ref="AF25:AF26"/>
    <mergeCell ref="AG25:AG26"/>
    <mergeCell ref="AH25:AH26"/>
    <mergeCell ref="AH20:AH21"/>
    <mergeCell ref="AG20:AG21"/>
    <mergeCell ref="AF20:AF21"/>
    <mergeCell ref="AE20:AE21"/>
    <mergeCell ref="AD20:AD2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POAI 2022 </vt:lpstr>
      <vt:lpstr>LINEA 1	SEGUIMIENTO DEL PLAN OP</vt:lpstr>
      <vt:lpstr>LINEA 2 SEGUIMIENTO DEL POAI</vt:lpstr>
      <vt:lpstr>LINEA3 SEGUIMIENTO DE POAI</vt:lpstr>
      <vt:lpstr>LINEA 4 SEGUIMIENTO DEL POAI</vt:lpstr>
      <vt:lpstr>LINEA5 SEGUIMIENTO POAI</vt:lpstr>
      <vt:lpstr>LINEA 6 SEGUIMIENTO DEL POAI</vt:lpstr>
      <vt:lpstr>LINEA7 SEGUIMIENTO DEL POAI </vt:lpstr>
      <vt:lpstr>LINEA8 SEGUIMIENTO DEL POAI</vt:lpstr>
      <vt:lpstr>RESUMEN LINEAS-POAI</vt:lpstr>
      <vt:lpstr>COSOLIDADO POAI</vt:lpstr>
      <vt:lpstr>PRESENTACIÓN</vt:lpstr>
      <vt:lpstr>DESGLOSE LINEA 2</vt:lpstr>
      <vt:lpstr>DESGLOSE LINEA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Avendaño</dc:creator>
  <cp:lastModifiedBy>PLANEACION</cp:lastModifiedBy>
  <cp:lastPrinted>2022-02-24T18:43:11Z</cp:lastPrinted>
  <dcterms:created xsi:type="dcterms:W3CDTF">2019-03-05T16:45:00Z</dcterms:created>
  <dcterms:modified xsi:type="dcterms:W3CDTF">2022-07-19T13:00:43Z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2058-11.2.0.9144</vt:lpwstr>
  </property>
</Properties>
</file>